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y-my.sharepoint.com/personal/praveen_krishna_sifycorp_com/Documents/CORPORATE COMMUNICATIONS/Press Release - Financials/Annual Financials 2023-24/Draft Results/"/>
    </mc:Choice>
  </mc:AlternateContent>
  <xr:revisionPtr revIDLastSave="0" documentId="8_{84C838CC-6E40-4AD3-876D-A26BB8B0FF02}" xr6:coauthVersionLast="47" xr6:coauthVersionMax="47" xr10:uidLastSave="{00000000-0000-0000-0000-000000000000}"/>
  <bookViews>
    <workbookView xWindow="-110" yWindow="-110" windowWidth="22780" windowHeight="14540" firstSheet="2" activeTab="2" xr2:uid="{00000000-000D-0000-FFFF-FFFF00000000}"/>
  </bookViews>
  <sheets>
    <sheet name="Ind AS 116 Impact" sheetId="5" state="hidden" r:id="rId1"/>
    <sheet name="Press Release March 20 New" sheetId="3" state="hidden" r:id="rId2"/>
    <sheet name="Press Release March 24" sheetId="6" r:id="rId3"/>
    <sheet name="Sheet1" sheetId="7" state="hidden" r:id="rId4"/>
    <sheet name="Sheet3" sheetId="9" state="hidden" r:id="rId5"/>
  </sheets>
  <externalReferences>
    <externalReference r:id="rId6"/>
  </externalReferences>
  <definedNames>
    <definedName name="BuiltIn_Print_Area">#REF!</definedName>
    <definedName name="_xlnm.Print_Area" localSheetId="1">'Press Release March 20 New'!$B$1:$F$36</definedName>
    <definedName name="_xlnm.Print_Area" localSheetId="2">'Press Release March 24'!$B$1:$F$21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6" l="1"/>
  <c r="L24" i="6" s="1"/>
  <c r="I24" i="6"/>
  <c r="J24" i="6" s="1"/>
  <c r="K21" i="6"/>
  <c r="L21" i="6" s="1"/>
  <c r="I21" i="6"/>
  <c r="J21" i="6" s="1"/>
  <c r="K14" i="6"/>
  <c r="L14" i="6" s="1"/>
  <c r="I14" i="6"/>
  <c r="J14" i="6" s="1"/>
  <c r="K10" i="6"/>
  <c r="L10" i="6" s="1"/>
  <c r="J10" i="6"/>
  <c r="I10" i="6"/>
  <c r="G31" i="6"/>
  <c r="G29" i="6"/>
  <c r="G23" i="6"/>
  <c r="G22" i="6"/>
  <c r="G18" i="6"/>
  <c r="G17" i="6"/>
  <c r="G16" i="6"/>
  <c r="G12" i="6"/>
  <c r="G11" i="6"/>
  <c r="G10" i="6"/>
  <c r="G14" i="6" l="1"/>
  <c r="U37" i="9" l="1"/>
  <c r="I37" i="9"/>
  <c r="U36" i="9"/>
  <c r="J36" i="9"/>
  <c r="H36" i="9"/>
  <c r="E36" i="9"/>
  <c r="L35" i="9"/>
  <c r="L36" i="9" s="1"/>
  <c r="K36" i="9" s="1"/>
  <c r="I35" i="9"/>
  <c r="D28" i="9"/>
  <c r="J24" i="9"/>
  <c r="S23" i="9"/>
  <c r="T23" i="9" s="1"/>
  <c r="P23" i="9"/>
  <c r="U22" i="9"/>
  <c r="S22" i="9"/>
  <c r="T22" i="9" s="1"/>
  <c r="Q22" i="9"/>
  <c r="D22" i="9"/>
  <c r="F22" i="9" s="1"/>
  <c r="U21" i="9"/>
  <c r="T21" i="9"/>
  <c r="S21" i="9"/>
  <c r="P21" i="9"/>
  <c r="U20" i="9"/>
  <c r="I20" i="9"/>
  <c r="I24" i="9" s="1"/>
  <c r="U24" i="9" s="1"/>
  <c r="T19" i="9"/>
  <c r="S19" i="9"/>
  <c r="P19" i="9"/>
  <c r="F19" i="9"/>
  <c r="S18" i="9"/>
  <c r="T18" i="9" s="1"/>
  <c r="P18" i="9"/>
  <c r="F18" i="9"/>
  <c r="O17" i="9"/>
  <c r="N17" i="9"/>
  <c r="N20" i="9" s="1"/>
  <c r="N24" i="9" s="1"/>
  <c r="M17" i="9"/>
  <c r="M20" i="9" s="1"/>
  <c r="I17" i="9"/>
  <c r="U16" i="9"/>
  <c r="S16" i="9"/>
  <c r="T16" i="9" s="1"/>
  <c r="D16" i="9"/>
  <c r="U15" i="9"/>
  <c r="V16" i="9" s="1"/>
  <c r="S15" i="9"/>
  <c r="T15" i="9" s="1"/>
  <c r="D15" i="9"/>
  <c r="S14" i="9"/>
  <c r="T14" i="9" s="1"/>
  <c r="O14" i="9"/>
  <c r="O20" i="9" s="1"/>
  <c r="O24" i="9" s="1"/>
  <c r="N14" i="9"/>
  <c r="N36" i="9" s="1"/>
  <c r="M14" i="9"/>
  <c r="M36" i="9" s="1"/>
  <c r="I14" i="9"/>
  <c r="S13" i="9"/>
  <c r="T13" i="9" s="1"/>
  <c r="D13" i="9"/>
  <c r="F13" i="9" s="1"/>
  <c r="U12" i="9"/>
  <c r="T12" i="9"/>
  <c r="S12" i="9"/>
  <c r="R12" i="9"/>
  <c r="U11" i="9"/>
  <c r="T11" i="9"/>
  <c r="S11" i="9"/>
  <c r="D11" i="9"/>
  <c r="P11" i="9" s="1"/>
  <c r="R11" i="9" s="1"/>
  <c r="U10" i="9"/>
  <c r="T10" i="9"/>
  <c r="S10" i="9"/>
  <c r="J10" i="9"/>
  <c r="D10" i="9"/>
  <c r="U9" i="9"/>
  <c r="S9" i="9"/>
  <c r="T9" i="9" s="1"/>
  <c r="D9" i="9"/>
  <c r="V8" i="9"/>
  <c r="U8" i="9"/>
  <c r="W8" i="9" s="1"/>
  <c r="X8" i="9" s="1"/>
  <c r="S8" i="9"/>
  <c r="T8" i="9" s="1"/>
  <c r="J8" i="9"/>
  <c r="D8" i="9"/>
  <c r="G8" i="9" s="1"/>
  <c r="F9" i="9" l="1"/>
  <c r="F28" i="9"/>
  <c r="P15" i="9"/>
  <c r="R15" i="9" s="1"/>
  <c r="P16" i="9"/>
  <c r="R16" i="9" s="1"/>
  <c r="F10" i="9"/>
  <c r="P8" i="9"/>
  <c r="R8" i="9" s="1"/>
  <c r="F8" i="9"/>
  <c r="D33" i="9"/>
  <c r="V36" i="9"/>
  <c r="W36" i="9" s="1"/>
  <c r="V37" i="9"/>
  <c r="W37" i="9" s="1"/>
  <c r="S20" i="9"/>
  <c r="T20" i="9" s="1"/>
  <c r="M24" i="9"/>
  <c r="V20" i="9"/>
  <c r="W20" i="9" s="1"/>
  <c r="X20" i="9" s="1"/>
  <c r="G22" i="9"/>
  <c r="G10" i="9"/>
  <c r="P22" i="9"/>
  <c r="R22" i="9" s="1"/>
  <c r="P9" i="9"/>
  <c r="R9" i="9" s="1"/>
  <c r="G11" i="9"/>
  <c r="G13" i="9"/>
  <c r="F15" i="9"/>
  <c r="F16" i="9"/>
  <c r="D17" i="9"/>
  <c r="P17" i="9" s="1"/>
  <c r="S17" i="9"/>
  <c r="T17" i="9" s="1"/>
  <c r="G9" i="9"/>
  <c r="F11" i="9"/>
  <c r="P10" i="9"/>
  <c r="P13" i="9"/>
  <c r="G15" i="9"/>
  <c r="G16" i="9"/>
  <c r="D12" i="9"/>
  <c r="D14" i="9" s="1"/>
  <c r="R10" i="9" l="1"/>
  <c r="G17" i="9"/>
  <c r="F17" i="9"/>
  <c r="P14" i="9"/>
  <c r="D20" i="9"/>
  <c r="A14" i="9"/>
  <c r="D36" i="9"/>
  <c r="A12" i="9"/>
  <c r="G12" i="9"/>
  <c r="G14" i="9" s="1"/>
  <c r="F12" i="9"/>
  <c r="F14" i="9" s="1"/>
  <c r="V24" i="9"/>
  <c r="W24" i="9" s="1"/>
  <c r="X24" i="9" s="1"/>
  <c r="S24" i="9"/>
  <c r="T24" i="9" s="1"/>
  <c r="G20" i="9" l="1"/>
  <c r="F20" i="9"/>
  <c r="F24" i="9" s="1"/>
  <c r="F27" i="9" s="1"/>
  <c r="F29" i="9" s="1"/>
  <c r="F36" i="9"/>
  <c r="P20" i="9"/>
  <c r="D24" i="9"/>
  <c r="E52" i="9"/>
  <c r="G36" i="9"/>
  <c r="G39" i="9" s="1"/>
  <c r="G24" i="9" l="1"/>
  <c r="D51" i="9"/>
  <c r="P24" i="9"/>
  <c r="D27" i="9"/>
  <c r="D29" i="9" l="1"/>
  <c r="F37" i="6" l="1"/>
  <c r="E37" i="6"/>
  <c r="D37" i="6"/>
  <c r="C37" i="6"/>
  <c r="G37" i="6" s="1"/>
  <c r="E36" i="6"/>
  <c r="D36" i="6"/>
  <c r="C36" i="6"/>
  <c r="G36" i="6" s="1"/>
  <c r="D35" i="6"/>
  <c r="C35" i="6"/>
  <c r="G35" i="6" s="1"/>
  <c r="F33" i="6"/>
  <c r="E33" i="6"/>
  <c r="D33" i="6"/>
  <c r="C33" i="6"/>
  <c r="G33" i="6" s="1"/>
  <c r="F32" i="6"/>
  <c r="E32" i="6"/>
  <c r="D32" i="6"/>
  <c r="C32" i="6"/>
  <c r="G32" i="6" s="1"/>
  <c r="F30" i="6"/>
  <c r="E30" i="6"/>
  <c r="D30" i="6"/>
  <c r="C30" i="6"/>
  <c r="G30" i="6" s="1"/>
  <c r="F36" i="6"/>
  <c r="E35" i="6" l="1"/>
  <c r="F35" i="6"/>
  <c r="F14" i="6" l="1"/>
  <c r="F21" i="6" s="1"/>
  <c r="F24" i="6" s="1"/>
  <c r="F28" i="6" l="1"/>
  <c r="F38" i="6" s="1"/>
  <c r="F7" i="7"/>
  <c r="F6" i="7"/>
  <c r="F5" i="7"/>
  <c r="C4" i="7" l="1" a="1"/>
  <c r="H4" i="7" s="1"/>
  <c r="E14" i="6"/>
  <c r="C14" i="6"/>
  <c r="C5" i="7" s="1"/>
  <c r="D14" i="6"/>
  <c r="C4" i="7" l="1"/>
  <c r="G4" i="7" s="1"/>
  <c r="E5" i="7"/>
  <c r="H5" i="7" s="1"/>
  <c r="D21" i="6"/>
  <c r="D24" i="6" s="1"/>
  <c r="D5" i="7"/>
  <c r="G5" i="7" s="1"/>
  <c r="C21" i="6"/>
  <c r="C24" i="6" s="1"/>
  <c r="E21" i="6"/>
  <c r="E24" i="6" s="1"/>
  <c r="D28" i="6" l="1"/>
  <c r="D38" i="6" s="1"/>
  <c r="D7" i="7"/>
  <c r="E28" i="6"/>
  <c r="E7" i="7"/>
  <c r="H7" i="7" s="1"/>
  <c r="C28" i="6"/>
  <c r="C7" i="7"/>
  <c r="D6" i="7"/>
  <c r="C6" i="7"/>
  <c r="E6" i="7"/>
  <c r="H6" i="7" s="1"/>
  <c r="D14" i="3"/>
  <c r="D21" i="3" s="1"/>
  <c r="D23" i="3" s="1"/>
  <c r="D27" i="3" s="1"/>
  <c r="D35" i="3" s="1"/>
  <c r="D29" i="3"/>
  <c r="D30" i="3"/>
  <c r="D31" i="3"/>
  <c r="D32" i="3"/>
  <c r="D34" i="3"/>
  <c r="F14" i="3"/>
  <c r="F21" i="3" s="1"/>
  <c r="F23" i="3" s="1"/>
  <c r="F27" i="3" s="1"/>
  <c r="F35" i="3" s="1"/>
  <c r="F29" i="3"/>
  <c r="F30" i="3"/>
  <c r="F31" i="3"/>
  <c r="F32" i="3"/>
  <c r="F34" i="3"/>
  <c r="C41" i="3"/>
  <c r="H9" i="5"/>
  <c r="G7" i="7" l="1"/>
  <c r="E38" i="6"/>
  <c r="C38" i="6"/>
  <c r="G28" i="6"/>
  <c r="G6" i="7"/>
  <c r="D9" i="5"/>
  <c r="G9" i="5" s="1"/>
  <c r="D10" i="5"/>
  <c r="G10" i="5" s="1"/>
  <c r="E10" i="5"/>
  <c r="F9" i="5" l="1"/>
  <c r="H10" i="5"/>
  <c r="F10" i="5"/>
  <c r="E12" i="3" l="1"/>
  <c r="C12" i="3"/>
  <c r="C18" i="3" l="1"/>
  <c r="C19" i="3" l="1"/>
  <c r="E30" i="3" l="1"/>
  <c r="C30" i="3"/>
  <c r="E32" i="3"/>
  <c r="E34" i="3"/>
  <c r="C34" i="3"/>
  <c r="C32" i="3"/>
  <c r="E31" i="3"/>
  <c r="C31" i="3"/>
  <c r="E29" i="3"/>
  <c r="C29" i="3"/>
  <c r="E14" i="3" l="1"/>
  <c r="C14" i="3"/>
  <c r="C21" i="3" l="1"/>
  <c r="E21" i="3"/>
  <c r="C23" i="3" l="1"/>
  <c r="E23" i="3"/>
  <c r="C27" i="3" l="1"/>
  <c r="C35" i="3" s="1"/>
  <c r="E27" i="3"/>
  <c r="E3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<sst xmlns="http://schemas.openxmlformats.org/spreadsheetml/2006/main" count="141" uniqueCount="96">
  <si>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</si>
  <si>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</si>
  <si>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</si>
  <si>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</si>
  <si>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</si>
  <si>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</si>
  <si>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</si>
  <si>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</si>
  <si>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</si>
  <si>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</si>
  <si>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</si>
  <si>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</si>
  <si>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</si>
  <si>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</si>
  <si>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</si>
  <si>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</si>
  <si>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</si>
  <si>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</si>
  <si>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</si>
  <si>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</si>
  <si>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</si>
  <si>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</si>
  <si>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</si>
  <si>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</si>
  <si>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 xml:space="preserve"> </t>
  </si>
  <si>
    <t>Impact</t>
  </si>
  <si>
    <t>EBITDA 18-19</t>
  </si>
  <si>
    <t>EBITDA Q4</t>
  </si>
  <si>
    <t>Cash Balance</t>
  </si>
  <si>
    <t>Capex Spent for the quarter</t>
  </si>
  <si>
    <t>Rs Million</t>
  </si>
  <si>
    <t xml:space="preserve">Ind AS 116 Implementation </t>
  </si>
  <si>
    <t>Before</t>
  </si>
  <si>
    <t>After</t>
  </si>
  <si>
    <t>% Before</t>
  </si>
  <si>
    <t>% After</t>
  </si>
  <si>
    <t>Capex Spent for the Year</t>
  </si>
  <si>
    <t>Rs Million (CY)</t>
  </si>
  <si>
    <t>Current Tax</t>
  </si>
  <si>
    <t>Deferred Tax</t>
  </si>
  <si>
    <t xml:space="preserve">Deferred Tax </t>
  </si>
  <si>
    <t>PBT</t>
  </si>
  <si>
    <t>PAT</t>
  </si>
  <si>
    <t>Q4 21-22</t>
  </si>
  <si>
    <t>FY 21-22</t>
  </si>
  <si>
    <t>Variance Q-Q</t>
  </si>
  <si>
    <t>Variance Y-Y</t>
  </si>
  <si>
    <t>Rs Mln</t>
  </si>
  <si>
    <t>FY 22-23</t>
  </si>
  <si>
    <t>Q4 22-23</t>
  </si>
  <si>
    <t>Sify Technologies Limited</t>
  </si>
  <si>
    <t>Unaudited Condensed Consolidated Interim Statement of Income</t>
  </si>
  <si>
    <t>(In thousands of Indian Rupees except share data and as otherwise stated)</t>
  </si>
  <si>
    <t>For the period/year ended</t>
  </si>
  <si>
    <t>For the Quarter Ended</t>
  </si>
  <si>
    <t>Particulars</t>
  </si>
  <si>
    <t xml:space="preserve">Note </t>
  </si>
  <si>
    <t>31th Mar 2023</t>
  </si>
  <si>
    <t>31st Mar 2022</t>
  </si>
  <si>
    <t>Convenience translation into US $</t>
  </si>
  <si>
    <t>31th Dec 2022</t>
  </si>
  <si>
    <t>30th Sep 2022</t>
  </si>
  <si>
    <t>30th Jun 2022</t>
  </si>
  <si>
    <t>31st March 2022</t>
  </si>
  <si>
    <t>31st Dec 2021</t>
  </si>
  <si>
    <t>30th Sep 2021</t>
  </si>
  <si>
    <t>30th Jun 2021</t>
  </si>
  <si>
    <t>31st Mar 2021</t>
  </si>
  <si>
    <t xml:space="preserve">Cost of goods sold and services rendered </t>
  </si>
  <si>
    <t>Other income</t>
  </si>
  <si>
    <t>Selling, general and administrative expense</t>
  </si>
  <si>
    <t xml:space="preserve">Depreciation and amortisation </t>
  </si>
  <si>
    <t>Impairment Loss on goodwill</t>
  </si>
  <si>
    <t>Income from operating activities</t>
  </si>
  <si>
    <t>Finance Income</t>
  </si>
  <si>
    <t>Finance Expenses</t>
  </si>
  <si>
    <t>Profit from sale of shares in Associate and rights therein</t>
  </si>
  <si>
    <t>Share of profit of equity accounted investee (net of income tax)</t>
  </si>
  <si>
    <t xml:space="preserve">Profit  before tax </t>
  </si>
  <si>
    <t>Income tax (expense) / benefit</t>
  </si>
  <si>
    <t>Profit attributable to:</t>
  </si>
  <si>
    <t>Equity holders of the Company</t>
  </si>
  <si>
    <t>Non-controlling interest</t>
  </si>
  <si>
    <t>Basic earnings  per share</t>
  </si>
  <si>
    <t xml:space="preserve">Diluted earnings per share </t>
  </si>
  <si>
    <t>The accompanying notes form an integral part of these unaudited condensed consolidated financial statements</t>
  </si>
  <si>
    <t>Exchange loss (Included in Other Expenses)</t>
  </si>
  <si>
    <t xml:space="preserve">EBITDA </t>
  </si>
  <si>
    <t>Impairment</t>
  </si>
  <si>
    <t>Quarter ended March 2024</t>
  </si>
  <si>
    <t>Quarter ended March 2023</t>
  </si>
  <si>
    <t>Year ended March 2024</t>
  </si>
  <si>
    <t>Year ended March 2023</t>
  </si>
  <si>
    <t>Q-Q</t>
  </si>
  <si>
    <t>Y-Y</t>
  </si>
  <si>
    <t>During the quarter, Sify invested ­USD 0 Million in start-ups in the Silicon Valley area as part of our Corporate Venture Capital initiative. To date, the cumulative investment stands at USD XXX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</si>
</sst>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-* #,##0\ _D_M_-;\-* #,##0\ _D_M_-;_-* \-??\ _D_M_-;_-@_-"/>
    <numFmt numFmtId="167" formatCode="_ * #,##0_ ;_ * \-#,##0_ ;_ * &quot;-&quot;??_ ;_ @_ "/>
  </numFmts>
  <fonts count="15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u/>
      <sz val="9"/>
      <name val="Trebuchet MS"/>
      <family val="2"/>
    </font>
    <font>
      <b/>
      <sz val="10"/>
      <name val="Arial"/>
      <family val="2"/>
    </font>
    <font>
      <b/>
      <sz val="10"/>
      <name val="Mangal"/>
      <family val="2"/>
    </font>
    <font>
      <b/>
      <sz val="10"/>
      <name val="Mangal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2" applyFont="1"/>
    <xf numFmtId="1" fontId="3" fillId="0" borderId="0" xfId="2" applyNumberFormat="1" applyFont="1"/>
    <xf numFmtId="0" fontId="3" fillId="0" borderId="0" xfId="0" applyFont="1"/>
    <xf numFmtId="0" fontId="3" fillId="0" borderId="0" xfId="2" applyFont="1"/>
    <xf numFmtId="0" fontId="2" fillId="0" borderId="1" xfId="2" applyFont="1" applyBorder="1" applyAlignment="1">
      <alignment vertical="center"/>
    </xf>
    <xf numFmtId="0" fontId="2" fillId="0" borderId="2" xfId="2" applyFont="1" applyBorder="1"/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16" fontId="2" fillId="0" borderId="0" xfId="2" applyNumberFormat="1" applyFont="1" applyAlignment="1">
      <alignment horizontal="center"/>
    </xf>
    <xf numFmtId="16" fontId="2" fillId="0" borderId="5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4" xfId="2" applyFont="1" applyBorder="1" applyAlignment="1">
      <alignment vertic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3" fillId="0" borderId="4" xfId="2" applyFont="1" applyBorder="1"/>
    <xf numFmtId="0" fontId="3" fillId="0" borderId="0" xfId="0" applyFont="1" applyBorder="1"/>
    <xf numFmtId="0" fontId="3" fillId="0" borderId="5" xfId="2" applyFont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65" fontId="3" fillId="0" borderId="0" xfId="2" applyNumberFormat="1" applyFont="1"/>
    <xf numFmtId="165" fontId="3" fillId="0" borderId="5" xfId="2" applyNumberFormat="1" applyFont="1" applyBorder="1"/>
    <xf numFmtId="0" fontId="2" fillId="0" borderId="4" xfId="2" applyFont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Border="1"/>
    <xf numFmtId="0" fontId="4" fillId="0" borderId="4" xfId="2" applyFont="1" applyBorder="1"/>
    <xf numFmtId="165" fontId="2" fillId="0" borderId="5" xfId="1" applyNumberFormat="1" applyFont="1" applyFill="1" applyBorder="1"/>
    <xf numFmtId="0" fontId="3" fillId="0" borderId="4" xfId="2" applyFont="1" applyBorder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3" fillId="0" borderId="14" xfId="2" applyFont="1" applyBorder="1"/>
    <xf numFmtId="0" fontId="3" fillId="0" borderId="6" xfId="2" applyFont="1" applyBorder="1"/>
    <xf numFmtId="0" fontId="3" fillId="0" borderId="6" xfId="0" applyFont="1" applyBorder="1"/>
    <xf numFmtId="0" fontId="3" fillId="0" borderId="7" xfId="2" applyFont="1" applyBorder="1"/>
    <xf numFmtId="0" fontId="7" fillId="0" borderId="0" xfId="2" applyFont="1"/>
    <xf numFmtId="0" fontId="3" fillId="0" borderId="15" xfId="2" applyFont="1" applyBorder="1"/>
    <xf numFmtId="9" fontId="2" fillId="0" borderId="0" xfId="9" applyFont="1" applyFill="1" applyBorder="1"/>
    <xf numFmtId="9" fontId="3" fillId="0" borderId="15" xfId="9" applyFont="1" applyFill="1" applyBorder="1"/>
    <xf numFmtId="0" fontId="2" fillId="0" borderId="15" xfId="2" applyFont="1" applyBorder="1" applyAlignment="1">
      <alignment horizontal="center"/>
    </xf>
    <xf numFmtId="165" fontId="3" fillId="0" borderId="15" xfId="1" applyNumberFormat="1" applyFont="1" applyFill="1" applyBorder="1"/>
    <xf numFmtId="165" fontId="3" fillId="0" borderId="8" xfId="1" applyNumberFormat="1" applyFont="1" applyFill="1" applyBorder="1"/>
    <xf numFmtId="0" fontId="8" fillId="0" borderId="0" xfId="0" applyFont="1"/>
    <xf numFmtId="0" fontId="1" fillId="0" borderId="15" xfId="0" applyFont="1" applyBorder="1"/>
    <xf numFmtId="165" fontId="0" fillId="0" borderId="15" xfId="1" applyNumberFormat="1" applyFont="1" applyBorder="1"/>
    <xf numFmtId="9" fontId="2" fillId="0" borderId="15" xfId="9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165" fontId="0" fillId="2" borderId="15" xfId="1" applyNumberFormat="1" applyFont="1" applyFill="1" applyBorder="1"/>
    <xf numFmtId="0" fontId="8" fillId="0" borderId="0" xfId="0" applyFont="1" applyAlignment="1">
      <alignment wrapText="1"/>
    </xf>
    <xf numFmtId="166" fontId="1" fillId="0" borderId="0" xfId="1" applyNumberFormat="1" applyFill="1"/>
    <xf numFmtId="3" fontId="0" fillId="0" borderId="0" xfId="0" applyNumberFormat="1"/>
    <xf numFmtId="0" fontId="8" fillId="0" borderId="0" xfId="0" applyFont="1" applyAlignment="1">
      <alignment horizontal="center"/>
    </xf>
    <xf numFmtId="0" fontId="0" fillId="0" borderId="4" xfId="0" applyBorder="1"/>
    <xf numFmtId="41" fontId="0" fillId="0" borderId="0" xfId="0" applyNumberFormat="1"/>
    <xf numFmtId="167" fontId="0" fillId="0" borderId="0" xfId="0" applyNumberFormat="1"/>
    <xf numFmtId="0" fontId="8" fillId="0" borderId="9" xfId="0" applyFont="1" applyBorder="1" applyAlignment="1">
      <alignment horizontal="center" vertical="center"/>
    </xf>
    <xf numFmtId="166" fontId="10" fillId="0" borderId="15" xfId="1" applyNumberFormat="1" applyFont="1" applyFill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 wrapText="1"/>
    </xf>
    <xf numFmtId="41" fontId="8" fillId="0" borderId="15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165" fontId="0" fillId="0" borderId="0" xfId="9" applyNumberFormat="1" applyFont="1" applyFill="1"/>
    <xf numFmtId="0" fontId="0" fillId="0" borderId="16" xfId="0" applyBorder="1"/>
    <xf numFmtId="0" fontId="0" fillId="0" borderId="3" xfId="0" applyBorder="1"/>
    <xf numFmtId="165" fontId="0" fillId="0" borderId="3" xfId="0" applyNumberFormat="1" applyBorder="1"/>
    <xf numFmtId="165" fontId="0" fillId="0" borderId="0" xfId="0" applyNumberFormat="1"/>
    <xf numFmtId="165" fontId="0" fillId="0" borderId="0" xfId="9" applyNumberFormat="1" applyFont="1" applyFill="1" applyBorder="1"/>
    <xf numFmtId="9" fontId="0" fillId="0" borderId="0" xfId="9" applyFont="1" applyFill="1" applyBorder="1"/>
    <xf numFmtId="43" fontId="0" fillId="0" borderId="0" xfId="0" applyNumberFormat="1"/>
    <xf numFmtId="164" fontId="1" fillId="0" borderId="0" xfId="1" applyFill="1" applyBorder="1"/>
    <xf numFmtId="0" fontId="0" fillId="0" borderId="17" xfId="0" applyBorder="1"/>
    <xf numFmtId="0" fontId="0" fillId="0" borderId="5" xfId="0" applyBorder="1"/>
    <xf numFmtId="165" fontId="0" fillId="0" borderId="5" xfId="0" applyNumberFormat="1" applyBorder="1"/>
    <xf numFmtId="165" fontId="0" fillId="3" borderId="0" xfId="0" applyNumberFormat="1" applyFill="1"/>
    <xf numFmtId="0" fontId="8" fillId="0" borderId="17" xfId="0" applyFont="1" applyBorder="1"/>
    <xf numFmtId="0" fontId="8" fillId="0" borderId="5" xfId="0" applyFont="1" applyBorder="1"/>
    <xf numFmtId="165" fontId="8" fillId="0" borderId="5" xfId="0" applyNumberFormat="1" applyFont="1" applyBorder="1"/>
    <xf numFmtId="165" fontId="8" fillId="0" borderId="0" xfId="0" applyNumberFormat="1" applyFont="1"/>
    <xf numFmtId="0" fontId="11" fillId="0" borderId="0" xfId="0" applyFont="1" applyAlignment="1">
      <alignment horizontal="right" vertical="center"/>
    </xf>
    <xf numFmtId="167" fontId="0" fillId="0" borderId="5" xfId="0" applyNumberFormat="1" applyBorder="1"/>
    <xf numFmtId="3" fontId="12" fillId="0" borderId="0" xfId="0" applyNumberFormat="1" applyFont="1" applyAlignment="1">
      <alignment horizontal="right" vertical="center"/>
    </xf>
    <xf numFmtId="3" fontId="11" fillId="0" borderId="0" xfId="0" applyNumberFormat="1" applyFont="1"/>
    <xf numFmtId="9" fontId="8" fillId="0" borderId="0" xfId="9" applyFont="1" applyFill="1" applyBorder="1"/>
    <xf numFmtId="166" fontId="1" fillId="0" borderId="0" xfId="1" applyNumberFormat="1" applyFill="1" applyBorder="1"/>
    <xf numFmtId="0" fontId="8" fillId="0" borderId="18" xfId="0" applyFont="1" applyBorder="1"/>
    <xf numFmtId="0" fontId="8" fillId="0" borderId="7" xfId="0" applyFont="1" applyBorder="1"/>
    <xf numFmtId="165" fontId="8" fillId="0" borderId="7" xfId="0" applyNumberFormat="1" applyFont="1" applyBorder="1"/>
    <xf numFmtId="166" fontId="1" fillId="0" borderId="5" xfId="1" applyNumberFormat="1" applyFill="1" applyBorder="1"/>
    <xf numFmtId="0" fontId="0" fillId="0" borderId="18" xfId="0" applyBorder="1"/>
    <xf numFmtId="0" fontId="0" fillId="0" borderId="7" xfId="0" applyBorder="1"/>
    <xf numFmtId="166" fontId="1" fillId="0" borderId="7" xfId="1" applyNumberFormat="1" applyFill="1" applyBorder="1"/>
    <xf numFmtId="41" fontId="0" fillId="0" borderId="5" xfId="0" applyNumberFormat="1" applyBorder="1"/>
    <xf numFmtId="41" fontId="0" fillId="0" borderId="7" xfId="0" applyNumberFormat="1" applyBorder="1"/>
    <xf numFmtId="9" fontId="0" fillId="0" borderId="0" xfId="0" applyNumberFormat="1"/>
    <xf numFmtId="0" fontId="0" fillId="0" borderId="15" xfId="0" applyBorder="1" applyAlignment="1">
      <alignment horizontal="left" vertical="top"/>
    </xf>
    <xf numFmtId="165" fontId="8" fillId="0" borderId="15" xfId="0" applyNumberFormat="1" applyFont="1" applyBorder="1" applyAlignment="1">
      <alignment horizontal="left" vertical="top"/>
    </xf>
    <xf numFmtId="165" fontId="8" fillId="0" borderId="9" xfId="0" applyNumberFormat="1" applyFont="1" applyBorder="1" applyAlignment="1">
      <alignment horizontal="left" vertical="top"/>
    </xf>
    <xf numFmtId="166" fontId="1" fillId="0" borderId="15" xfId="1" applyNumberFormat="1" applyFill="1" applyBorder="1" applyAlignment="1">
      <alignment horizontal="left" vertical="top"/>
    </xf>
    <xf numFmtId="3" fontId="0" fillId="0" borderId="15" xfId="0" applyNumberFormat="1" applyBorder="1" applyAlignment="1">
      <alignment horizontal="left" vertical="top"/>
    </xf>
    <xf numFmtId="165" fontId="0" fillId="0" borderId="15" xfId="0" applyNumberFormat="1" applyBorder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7" fontId="0" fillId="0" borderId="0" xfId="0" applyNumberFormat="1" applyAlignment="1">
      <alignment horizontal="left" vertical="top"/>
    </xf>
    <xf numFmtId="43" fontId="0" fillId="0" borderId="0" xfId="0" applyNumberFormat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165" fontId="8" fillId="0" borderId="7" xfId="0" applyNumberFormat="1" applyFont="1" applyBorder="1" applyAlignment="1">
      <alignment horizontal="left" vertical="top"/>
    </xf>
    <xf numFmtId="3" fontId="9" fillId="0" borderId="15" xfId="1" applyNumberFormat="1" applyFont="1" applyFill="1" applyBorder="1" applyAlignment="1">
      <alignment horizontal="left" vertical="top"/>
    </xf>
    <xf numFmtId="3" fontId="9" fillId="0" borderId="0" xfId="1" applyNumberFormat="1" applyFont="1" applyFill="1" applyBorder="1" applyAlignment="1">
      <alignment horizontal="left" vertical="top"/>
    </xf>
    <xf numFmtId="166" fontId="1" fillId="0" borderId="0" xfId="1" applyNumberFormat="1" applyFill="1" applyBorder="1" applyAlignment="1">
      <alignment horizontal="left" vertical="top"/>
    </xf>
    <xf numFmtId="9" fontId="0" fillId="0" borderId="0" xfId="9" applyFont="1" applyFill="1" applyBorder="1" applyAlignment="1">
      <alignment horizontal="left" vertical="top"/>
    </xf>
    <xf numFmtId="166" fontId="1" fillId="0" borderId="0" xfId="1" applyNumberForma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1" fillId="0" borderId="0" xfId="1" applyNumberFormat="1" applyFill="1" applyBorder="1" applyAlignment="1">
      <alignment horizontal="right"/>
    </xf>
    <xf numFmtId="4" fontId="1" fillId="0" borderId="0" xfId="1" applyNumberFormat="1" applyFill="1" applyBorder="1" applyAlignment="1">
      <alignment horizontal="right"/>
    </xf>
    <xf numFmtId="4" fontId="1" fillId="0" borderId="0" xfId="1" applyNumberFormat="1" applyFill="1" applyBorder="1"/>
    <xf numFmtId="164" fontId="0" fillId="0" borderId="0" xfId="0" applyNumberFormat="1"/>
    <xf numFmtId="165" fontId="3" fillId="0" borderId="0" xfId="1" applyNumberFormat="1" applyFont="1" applyFill="1"/>
    <xf numFmtId="165" fontId="3" fillId="0" borderId="22" xfId="1" applyNumberFormat="1" applyFont="1" applyFill="1" applyBorder="1"/>
    <xf numFmtId="165" fontId="2" fillId="0" borderId="24" xfId="1" applyNumberFormat="1" applyFont="1" applyFill="1" applyBorder="1"/>
    <xf numFmtId="165" fontId="0" fillId="0" borderId="15" xfId="1" applyNumberFormat="1" applyFont="1" applyFill="1" applyBorder="1"/>
    <xf numFmtId="41" fontId="8" fillId="0" borderId="16" xfId="0" applyNumberFormat="1" applyFont="1" applyBorder="1" applyAlignment="1">
      <alignment horizontal="center" vertical="center"/>
    </xf>
    <xf numFmtId="9" fontId="0" fillId="0" borderId="0" xfId="9" applyFont="1" applyFill="1"/>
    <xf numFmtId="165" fontId="0" fillId="0" borderId="2" xfId="0" applyNumberFormat="1" applyBorder="1"/>
    <xf numFmtId="165" fontId="0" fillId="4" borderId="0" xfId="0" applyNumberFormat="1" applyFill="1"/>
    <xf numFmtId="165" fontId="13" fillId="0" borderId="5" xfId="0" applyNumberFormat="1" applyFont="1" applyBorder="1"/>
    <xf numFmtId="165" fontId="14" fillId="0" borderId="5" xfId="0" applyNumberFormat="1" applyFont="1" applyBorder="1"/>
    <xf numFmtId="4" fontId="0" fillId="0" borderId="0" xfId="0" applyNumberFormat="1"/>
    <xf numFmtId="165" fontId="14" fillId="0" borderId="15" xfId="0" applyNumberFormat="1" applyFont="1" applyBorder="1" applyAlignment="1">
      <alignment horizontal="left" vertical="top"/>
    </xf>
    <xf numFmtId="165" fontId="14" fillId="0" borderId="9" xfId="0" applyNumberFormat="1" applyFont="1" applyBorder="1" applyAlignment="1">
      <alignment horizontal="left" vertical="top"/>
    </xf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0" fontId="2" fillId="0" borderId="20" xfId="2" applyFont="1" applyBorder="1" applyAlignment="1">
      <alignment vertical="center"/>
    </xf>
    <xf numFmtId="0" fontId="2" fillId="0" borderId="21" xfId="2" applyFont="1" applyBorder="1" applyAlignment="1">
      <alignment horizontal="center" vertical="center"/>
    </xf>
    <xf numFmtId="0" fontId="2" fillId="0" borderId="21" xfId="2" applyFont="1" applyBorder="1" applyAlignment="1">
      <alignment vertical="center"/>
    </xf>
    <xf numFmtId="0" fontId="3" fillId="0" borderId="21" xfId="2" applyFont="1" applyBorder="1"/>
    <xf numFmtId="0" fontId="3" fillId="0" borderId="22" xfId="2" applyFont="1" applyBorder="1"/>
    <xf numFmtId="165" fontId="3" fillId="0" borderId="22" xfId="2" applyNumberFormat="1" applyFont="1" applyBorder="1"/>
    <xf numFmtId="0" fontId="2" fillId="0" borderId="21" xfId="2" applyFont="1" applyBorder="1"/>
    <xf numFmtId="0" fontId="2" fillId="0" borderId="6" xfId="2" applyFont="1" applyBorder="1" applyAlignment="1">
      <alignment horizontal="right"/>
    </xf>
    <xf numFmtId="0" fontId="2" fillId="0" borderId="23" xfId="2" applyFont="1" applyBorder="1" applyAlignment="1">
      <alignment horizontal="right"/>
    </xf>
    <xf numFmtId="0" fontId="2" fillId="0" borderId="28" xfId="2" applyFont="1" applyBorder="1"/>
    <xf numFmtId="165" fontId="2" fillId="0" borderId="29" xfId="1" applyNumberFormat="1" applyFont="1" applyFill="1" applyBorder="1"/>
    <xf numFmtId="164" fontId="2" fillId="0" borderId="21" xfId="2" applyNumberFormat="1" applyFont="1" applyBorder="1"/>
    <xf numFmtId="0" fontId="4" fillId="0" borderId="21" xfId="2" applyFont="1" applyBorder="1"/>
    <xf numFmtId="165" fontId="2" fillId="0" borderId="22" xfId="1" applyNumberFormat="1" applyFont="1" applyFill="1" applyBorder="1"/>
    <xf numFmtId="0" fontId="3" fillId="0" borderId="21" xfId="2" applyFont="1" applyBorder="1" applyAlignment="1">
      <alignment horizontal="left" vertical="top" wrapText="1"/>
    </xf>
    <xf numFmtId="0" fontId="3" fillId="0" borderId="28" xfId="2" applyFont="1" applyBorder="1"/>
    <xf numFmtId="165" fontId="3" fillId="0" borderId="30" xfId="2" applyNumberFormat="1" applyFont="1" applyBorder="1"/>
    <xf numFmtId="0" fontId="3" fillId="0" borderId="30" xfId="2" applyFont="1" applyBorder="1"/>
    <xf numFmtId="0" fontId="3" fillId="0" borderId="31" xfId="2" applyFont="1" applyBorder="1"/>
    <xf numFmtId="9" fontId="3" fillId="0" borderId="0" xfId="9" applyFont="1"/>
    <xf numFmtId="0" fontId="3" fillId="0" borderId="0" xfId="2" applyFont="1" applyAlignment="1">
      <alignment horizontal="center"/>
    </xf>
    <xf numFmtId="0" fontId="2" fillId="0" borderId="1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166" fontId="9" fillId="0" borderId="19" xfId="1" applyNumberFormat="1" applyFont="1" applyFill="1" applyBorder="1" applyAlignment="1">
      <alignment horizontal="center"/>
    </xf>
    <xf numFmtId="166" fontId="9" fillId="0" borderId="8" xfId="1" applyNumberFormat="1" applyFont="1" applyFill="1" applyBorder="1" applyAlignment="1">
      <alignment horizontal="center"/>
    </xf>
    <xf numFmtId="166" fontId="9" fillId="0" borderId="9" xfId="1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fy-my.sharepoint.com/personal/jain_chetan_sifycorp_com/Documents/FRG%20Files/FRG%20Folder/Chetan/1.%20IGAAP/2022-23/Q4%2022-23/Mar-23/Financials/IFRS/Q4%20FY22-23%20Financials%20-%20IFRS%20V4.xlsb" TargetMode="External"/><Relationship Id="rId1" Type="http://schemas.openxmlformats.org/officeDocument/2006/relationships/externalLinkPath" Target="https://sify.sharepoint.com/personal/jain_chetan_sifycorp_com/Documents/FRG%20Files/FRG%20Folder/Chetan/1.%20IGAAP/2022-23/Q4%2022-23/Mar-23/Financials/IFRS/Q4%20FY22-23%20Financials%20-%20IFRS%20V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 Manager"/>
      <sheetName val="Sheet Control"/>
      <sheetName val="Basic data"/>
      <sheetName val="Reco P&amp;L and CFS"/>
      <sheetName val="Reco_BS"/>
      <sheetName val="IFRS Reclass"/>
      <sheetName val="IFRS JVs"/>
      <sheetName val="Cash flow"/>
      <sheetName val="Hyder entries - To be removed"/>
      <sheetName val="Board - CF"/>
      <sheetName val="Board - BS"/>
      <sheetName val="Board - PL"/>
      <sheetName val="Balance Sheet"/>
      <sheetName val="P&amp;L"/>
      <sheetName val="Financial Instruments - new"/>
      <sheetName val="Financial instruments"/>
      <sheetName val="SOCE"/>
      <sheetName val="Consol - Trade &amp; Other Rec"/>
      <sheetName val="Cashflow workings (3)"/>
      <sheetName val="OCI"/>
      <sheetName val="Cash flow workings"/>
      <sheetName val="Other notes"/>
      <sheetName val="P&amp;L Grouping"/>
      <sheetName val="BS Grouping"/>
      <sheetName val="BS Sub Group"/>
      <sheetName val="STL Reclass"/>
      <sheetName val="Pending entries"/>
      <sheetName val="FA"/>
      <sheetName val="IA"/>
      <sheetName val="ROU"/>
      <sheetName val="IND AS entries Reversal"/>
      <sheetName val="Merger entries"/>
      <sheetName val="Trade Payables"/>
      <sheetName val="Published"/>
      <sheetName val="&gt;&gt;&gt; Schedule workings"/>
      <sheetName val="Finance activity reco"/>
      <sheetName val="Right of use &amp; LL"/>
      <sheetName val="Cash flow workings (2)"/>
      <sheetName val="Borrowings"/>
      <sheetName val="Trade and other receivables"/>
      <sheetName val="Trade &amp; other payables"/>
      <sheetName val="&gt;&gt;&gt;Workings"/>
      <sheetName val="Workings for notes"/>
      <sheetName val="IFRS 16 Reclass"/>
      <sheetName val="&gt;&gt; JE"/>
      <sheetName val="Old companies"/>
      <sheetName val="IFRS Old"/>
      <sheetName val="&gt;&gt;&gt; TBs"/>
      <sheetName val="Removed items"/>
      <sheetName val="STL TB"/>
      <sheetName val="SISL TB"/>
      <sheetName val="SDSL TB"/>
      <sheetName val="Sify Singapore"/>
      <sheetName val="Sify NA"/>
      <sheetName val="Sify DMS"/>
      <sheetName val="IFRS upto Mar 22 STL"/>
      <sheetName val="Gratuity"/>
      <sheetName val="R12"/>
      <sheetName val="Globe TB"/>
      <sheetName val="SCL TB"/>
      <sheetName val="SSL TB"/>
      <sheetName val="Sify Network"/>
      <sheetName val="Pace TB"/>
      <sheetName val="Printhouse"/>
      <sheetName val="oracleTB"/>
      <sheetName val="Sify Infinit"/>
      <sheetName val="Sify International"/>
      <sheetName val="&gt;&gt;&gt;Old entries"/>
      <sheetName val="IFRS upto Mar 17 SSL"/>
      <sheetName val="IFRS consol upto Mar 17"/>
      <sheetName val="Master Sheet"/>
    </sheetNames>
    <sheetDataSet>
      <sheetData sheetId="0" refreshError="1"/>
      <sheetData sheetId="1" refreshError="1"/>
      <sheetData sheetId="2">
        <row r="15">
          <cell r="D15">
            <v>82.216899999999995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G4">
            <v>-33403725.665746044</v>
          </cell>
        </row>
        <row r="15">
          <cell r="G15">
            <v>21379229.302695204</v>
          </cell>
        </row>
        <row r="30">
          <cell r="G30">
            <v>3971865.3416389916</v>
          </cell>
        </row>
        <row r="35">
          <cell r="G35">
            <v>0</v>
          </cell>
        </row>
        <row r="38">
          <cell r="G38">
            <v>9705499.4794168025</v>
          </cell>
        </row>
        <row r="41">
          <cell r="G41">
            <v>1506695.7577599257</v>
          </cell>
        </row>
        <row r="42">
          <cell r="G42">
            <v>145826.54700909305</v>
          </cell>
        </row>
        <row r="43">
          <cell r="G43">
            <v>-222905.1081699896</v>
          </cell>
        </row>
        <row r="44">
          <cell r="G44">
            <v>0</v>
          </cell>
        </row>
        <row r="45">
          <cell r="G45">
            <v>-85779.881106392553</v>
          </cell>
        </row>
        <row r="46">
          <cell r="G46">
            <v>-46059.893852982423</v>
          </cell>
        </row>
        <row r="53">
          <cell r="G53">
            <v>346585.36521680618</v>
          </cell>
        </row>
        <row r="54">
          <cell r="G54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D10-6185-4E92-8230-786573DCB815}">
  <dimension ref="B6:J11"/>
  <sheetViews>
    <sheetView workbookViewId="0">
      <selection activeCell="E9" sqref="E9"/>
    </sheetView>
  </sheetViews>
  <sheetFormatPr defaultRowHeight="12.5" x14ac:dyDescent="0.25"/>
  <cols>
    <col min="3" max="3" width="10.81640625" bestFit="1" customWidth="1"/>
  </cols>
  <sheetData>
    <row r="6" spans="2:10" ht="13" x14ac:dyDescent="0.3">
      <c r="B6" s="4"/>
      <c r="C6" s="20"/>
      <c r="D6" s="20"/>
      <c r="E6" s="4"/>
      <c r="F6" s="4"/>
      <c r="G6" s="4"/>
      <c r="H6" s="4"/>
      <c r="I6" s="4"/>
      <c r="J6" s="4"/>
    </row>
    <row r="7" spans="2:10" ht="13" x14ac:dyDescent="0.3">
      <c r="B7" s="4"/>
      <c r="C7" s="41" t="s">
        <v>31</v>
      </c>
      <c r="D7" s="4"/>
      <c r="E7" s="4"/>
      <c r="F7" s="4"/>
      <c r="G7" s="4"/>
      <c r="H7" s="4"/>
      <c r="I7" s="4"/>
      <c r="J7" s="4"/>
    </row>
    <row r="8" spans="2:10" ht="13" x14ac:dyDescent="0.3">
      <c r="B8" s="4"/>
      <c r="C8" s="4"/>
      <c r="D8" s="45" t="s">
        <v>32</v>
      </c>
      <c r="E8" s="45" t="s">
        <v>33</v>
      </c>
      <c r="F8" s="45" t="s">
        <v>25</v>
      </c>
      <c r="G8" s="45" t="s">
        <v>34</v>
      </c>
      <c r="H8" s="45" t="s">
        <v>35</v>
      </c>
      <c r="I8" s="4"/>
      <c r="J8" s="4"/>
    </row>
    <row r="9" spans="2:10" ht="13" x14ac:dyDescent="0.3">
      <c r="B9" s="4"/>
      <c r="C9" s="42" t="s">
        <v>26</v>
      </c>
      <c r="D9" s="46">
        <f>'Press Release March 20 New'!F14</f>
        <v>3122</v>
      </c>
      <c r="E9" s="46">
        <v>3498</v>
      </c>
      <c r="F9" s="46">
        <f>E9-D9</f>
        <v>376</v>
      </c>
      <c r="G9" s="44">
        <f>'Press Release March 20 New'!E14/D9-1</f>
        <v>0.30571837981580385</v>
      </c>
      <c r="H9" s="44">
        <f>'Press Release March 20 New'!E14/E9-1</f>
        <v>0.16536671863491681</v>
      </c>
      <c r="I9" s="4"/>
      <c r="J9" s="4"/>
    </row>
    <row r="10" spans="2:10" ht="13" x14ac:dyDescent="0.3">
      <c r="B10" s="4"/>
      <c r="C10" s="42" t="s">
        <v>27</v>
      </c>
      <c r="D10" s="46">
        <f>'Press Release March 20 New'!D14</f>
        <v>822</v>
      </c>
      <c r="E10" s="46">
        <f>D10+99</f>
        <v>921</v>
      </c>
      <c r="F10" s="46">
        <f>E10-D10</f>
        <v>99</v>
      </c>
      <c r="G10" s="44">
        <f>'Press Release March 20 New'!C14/D10-1</f>
        <v>0.26297115144353334</v>
      </c>
      <c r="H10" s="44">
        <f>'Press Release March 20 New'!C14/E10-1</f>
        <v>0.12721203744471699</v>
      </c>
      <c r="I10" s="4"/>
      <c r="J10" s="4"/>
    </row>
    <row r="11" spans="2:10" ht="13" x14ac:dyDescent="0.3">
      <c r="B11" s="4"/>
      <c r="C11" s="20"/>
      <c r="D11" s="22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5D08-2307-45B3-AE14-1147D92F6168}">
  <sheetPr>
    <pageSetUpPr fitToPage="1"/>
  </sheetPr>
  <dimension ref="B1:K42"/>
  <sheetViews>
    <sheetView showGridLines="0" showZeros="0" zoomScaleNormal="100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ColWidth="9.1796875" defaultRowHeight="12" x14ac:dyDescent="0.3"/>
  <cols>
    <col min="1" max="1" width="2.54296875" style="4" customWidth="1"/>
    <col min="2" max="2" width="37.453125" style="4" customWidth="1"/>
    <col min="3" max="3" width="13.54296875" style="4" bestFit="1" customWidth="1"/>
    <col min="4" max="4" width="13.453125" style="3" customWidth="1"/>
    <col min="5" max="5" width="14" style="4" customWidth="1"/>
    <col min="6" max="8" width="14.81640625" style="4" customWidth="1"/>
    <col min="9" max="9" width="9.1796875" style="4"/>
    <col min="10" max="10" width="13.453125" style="4" customWidth="1"/>
    <col min="11" max="15" width="9.54296875" style="4" customWidth="1"/>
    <col min="16" max="16" width="18.453125" style="4" bestFit="1" customWidth="1"/>
    <col min="17" max="17" width="6.1796875" style="4" bestFit="1" customWidth="1"/>
    <col min="18" max="16384" width="9.1796875" style="4"/>
  </cols>
  <sheetData>
    <row r="1" spans="2:11" x14ac:dyDescent="0.3">
      <c r="B1" s="1" t="s">
        <v>0</v>
      </c>
      <c r="C1" s="2"/>
    </row>
    <row r="3" spans="2:11" x14ac:dyDescent="0.3">
      <c r="B3" s="1" t="s">
        <v>1</v>
      </c>
    </row>
    <row r="4" spans="2:11" x14ac:dyDescent="0.3">
      <c r="B4" s="1" t="s">
        <v>2</v>
      </c>
    </row>
    <row r="5" spans="2:11" x14ac:dyDescent="0.3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1"/>
      <c r="K5" s="12"/>
    </row>
    <row r="6" spans="2:11" x14ac:dyDescent="0.3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">
      <c r="B7" s="9"/>
      <c r="C7" s="12">
        <v>2020</v>
      </c>
      <c r="D7" s="12">
        <v>2019</v>
      </c>
      <c r="E7" s="12">
        <v>2020</v>
      </c>
      <c r="F7" s="13">
        <v>2019</v>
      </c>
      <c r="G7" s="12"/>
      <c r="H7" s="12"/>
      <c r="J7" s="12"/>
      <c r="K7" s="12"/>
    </row>
    <row r="8" spans="2:11" x14ac:dyDescent="0.3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">
      <c r="B9" s="17"/>
      <c r="D9" s="18"/>
      <c r="F9" s="19"/>
    </row>
    <row r="10" spans="2:11" x14ac:dyDescent="0.3">
      <c r="B10" s="17" t="s">
        <v>8</v>
      </c>
      <c r="C10" s="20">
        <v>5736.0832383788684</v>
      </c>
      <c r="D10" s="20">
        <v>5623</v>
      </c>
      <c r="E10" s="20">
        <v>22952.066609637139</v>
      </c>
      <c r="F10" s="21">
        <v>21547</v>
      </c>
      <c r="G10" s="43"/>
      <c r="H10" s="43"/>
    </row>
    <row r="11" spans="2:11" ht="16.5" customHeight="1" x14ac:dyDescent="0.3">
      <c r="B11" s="17" t="s">
        <v>9</v>
      </c>
      <c r="C11" s="20">
        <v>-3464.6459518922838</v>
      </c>
      <c r="D11" s="20">
        <v>-3546</v>
      </c>
      <c r="E11" s="20">
        <v>-14364.826827852199</v>
      </c>
      <c r="F11" s="21">
        <v>-13602</v>
      </c>
      <c r="G11" s="20"/>
      <c r="H11" s="20"/>
    </row>
    <row r="12" spans="2:11" ht="16.5" customHeight="1" x14ac:dyDescent="0.3">
      <c r="B12" s="17" t="s">
        <v>10</v>
      </c>
      <c r="C12" s="20">
        <f>-1219029/1000-14.246</f>
        <v>-1233.2750000000001</v>
      </c>
      <c r="D12" s="20">
        <v>-1255</v>
      </c>
      <c r="E12" s="20">
        <f>(-4513762+2975)/1000</f>
        <v>-4510.7870000000003</v>
      </c>
      <c r="F12" s="21">
        <v>-4823</v>
      </c>
      <c r="G12" s="20"/>
      <c r="H12" s="20"/>
    </row>
    <row r="13" spans="2:11" ht="16.5" customHeight="1" x14ac:dyDescent="0.3">
      <c r="B13" s="17"/>
      <c r="C13" s="20"/>
      <c r="D13" s="20"/>
      <c r="E13" s="22"/>
      <c r="F13" s="23"/>
      <c r="G13" s="22"/>
      <c r="H13" s="22"/>
    </row>
    <row r="14" spans="2:11" ht="16.5" customHeight="1" x14ac:dyDescent="0.3">
      <c r="B14" s="24" t="s">
        <v>11</v>
      </c>
      <c r="C14" s="25">
        <f t="shared" ref="C14:E14" si="0">SUM(C10:C12)</f>
        <v>1038.1622864865844</v>
      </c>
      <c r="D14" s="25">
        <f t="shared" si="0"/>
        <v>822</v>
      </c>
      <c r="E14" s="25">
        <f t="shared" si="0"/>
        <v>4076.4527817849394</v>
      </c>
      <c r="F14" s="26">
        <f t="shared" ref="F14" si="1">SUM(F10:F12)</f>
        <v>3122</v>
      </c>
      <c r="G14" s="43"/>
      <c r="H14" s="43"/>
    </row>
    <row r="15" spans="2:11" ht="16.5" customHeight="1" x14ac:dyDescent="0.3">
      <c r="B15" s="17"/>
      <c r="C15" s="20"/>
      <c r="D15" s="20"/>
      <c r="E15" s="22"/>
      <c r="F15" s="23"/>
      <c r="G15" s="22"/>
      <c r="H15" s="22"/>
    </row>
    <row r="16" spans="2:11" ht="16.5" customHeight="1" x14ac:dyDescent="0.3">
      <c r="B16" s="17" t="s">
        <v>12</v>
      </c>
      <c r="C16" s="20">
        <v>-653.93053549210936</v>
      </c>
      <c r="D16" s="20">
        <v>-394</v>
      </c>
      <c r="E16" s="20">
        <v>-2290.5665384620465</v>
      </c>
      <c r="F16" s="21">
        <v>-1533</v>
      </c>
      <c r="G16" s="20"/>
      <c r="H16" s="20"/>
      <c r="J16" s="20"/>
      <c r="K16" s="20"/>
    </row>
    <row r="17" spans="2:11" ht="16.5" customHeight="1" x14ac:dyDescent="0.3">
      <c r="B17" s="17" t="s">
        <v>13</v>
      </c>
      <c r="C17" s="20">
        <v>-280.61635541182625</v>
      </c>
      <c r="D17" s="20">
        <v>-199</v>
      </c>
      <c r="E17" s="20">
        <v>-860.25567638921427</v>
      </c>
      <c r="F17" s="21">
        <v>-682</v>
      </c>
      <c r="G17" s="20"/>
      <c r="H17" s="20"/>
      <c r="J17" s="20"/>
      <c r="K17" s="20"/>
    </row>
    <row r="18" spans="2:11" x14ac:dyDescent="0.3">
      <c r="B18" s="17" t="s">
        <v>21</v>
      </c>
      <c r="C18" s="20">
        <f>(52375+14246)/1000</f>
        <v>66.620999999999995</v>
      </c>
      <c r="D18" s="20">
        <v>77</v>
      </c>
      <c r="E18" s="20">
        <v>97.154951167199243</v>
      </c>
      <c r="F18" s="21">
        <v>217</v>
      </c>
      <c r="G18" s="20"/>
      <c r="H18" s="20"/>
      <c r="J18" s="20"/>
      <c r="K18" s="20"/>
    </row>
    <row r="19" spans="2:11" x14ac:dyDescent="0.3">
      <c r="B19" s="17" t="s">
        <v>22</v>
      </c>
      <c r="C19" s="20">
        <f t="shared" ref="C19" si="2">J19/1000</f>
        <v>0</v>
      </c>
      <c r="D19" s="20">
        <v>0</v>
      </c>
      <c r="E19" s="20">
        <v>-2.9750084316898247</v>
      </c>
      <c r="F19" s="21">
        <v>-52</v>
      </c>
      <c r="G19" s="20"/>
      <c r="H19" s="20"/>
      <c r="J19" s="20"/>
      <c r="K19" s="20"/>
    </row>
    <row r="20" spans="2:11" ht="12.5" thickBot="1" x14ac:dyDescent="0.35">
      <c r="B20" s="24"/>
      <c r="C20" s="20"/>
      <c r="D20" s="20"/>
      <c r="E20" s="22"/>
      <c r="F20" s="23"/>
      <c r="G20" s="22"/>
      <c r="H20" s="22"/>
      <c r="J20" s="20"/>
      <c r="K20" s="22"/>
    </row>
    <row r="21" spans="2:11" x14ac:dyDescent="0.3">
      <c r="B21" s="24" t="s">
        <v>14</v>
      </c>
      <c r="C21" s="27">
        <f>SUM(C14:C20)</f>
        <v>170.23639558264881</v>
      </c>
      <c r="D21" s="27">
        <f t="shared" ref="D21:F21" si="3">SUM(D14:D20)</f>
        <v>306</v>
      </c>
      <c r="E21" s="27">
        <f t="shared" si="3"/>
        <v>1019.8105096691879</v>
      </c>
      <c r="F21" s="28">
        <f t="shared" si="3"/>
        <v>1072</v>
      </c>
      <c r="G21" s="43"/>
      <c r="H21" s="43"/>
      <c r="J21" s="20"/>
      <c r="K21" s="20"/>
    </row>
    <row r="22" spans="2:11" x14ac:dyDescent="0.3">
      <c r="B22" s="24" t="s">
        <v>15</v>
      </c>
      <c r="C22" s="20">
        <v>-35.841031502994824</v>
      </c>
      <c r="D22" s="20">
        <v>-3</v>
      </c>
      <c r="E22" s="20">
        <v>-314.255890839313</v>
      </c>
      <c r="F22" s="21">
        <v>-2.6120000000000001</v>
      </c>
      <c r="G22" s="43"/>
      <c r="H22" s="43"/>
      <c r="J22" s="20"/>
      <c r="K22" s="20"/>
    </row>
    <row r="23" spans="2:11" ht="12.5" thickBot="1" x14ac:dyDescent="0.35">
      <c r="B23" s="24" t="s">
        <v>16</v>
      </c>
      <c r="C23" s="29">
        <f>C21+C22</f>
        <v>134.39536407965397</v>
      </c>
      <c r="D23" s="29">
        <f>D21+D22</f>
        <v>303</v>
      </c>
      <c r="E23" s="29">
        <f>E21+E22</f>
        <v>705.55461882987493</v>
      </c>
      <c r="F23" s="30">
        <f>F21+F22</f>
        <v>1069.3879999999999</v>
      </c>
      <c r="G23" s="43"/>
      <c r="H23" s="43"/>
      <c r="J23" s="31"/>
      <c r="K23" s="31"/>
    </row>
    <row r="24" spans="2:11" x14ac:dyDescent="0.3">
      <c r="B24" s="24"/>
      <c r="C24" s="31"/>
      <c r="D24" s="31"/>
      <c r="E24" s="22"/>
      <c r="F24" s="23"/>
      <c r="G24" s="22"/>
      <c r="H24" s="22"/>
      <c r="J24" s="31"/>
      <c r="K24" s="22"/>
    </row>
    <row r="25" spans="2:11" x14ac:dyDescent="0.3">
      <c r="B25" s="32" t="s">
        <v>17</v>
      </c>
      <c r="C25" s="20"/>
      <c r="D25" s="20"/>
      <c r="E25" s="22"/>
      <c r="F25" s="23"/>
      <c r="G25" s="22"/>
      <c r="H25" s="22"/>
      <c r="J25" s="20"/>
      <c r="K25" s="22"/>
    </row>
    <row r="26" spans="2:11" x14ac:dyDescent="0.3">
      <c r="B26" s="33" t="s">
        <v>18</v>
      </c>
      <c r="C26" s="20"/>
      <c r="D26" s="20"/>
      <c r="E26" s="22"/>
      <c r="F26" s="23"/>
      <c r="G26" s="22"/>
      <c r="H26" s="22"/>
      <c r="J26" s="20"/>
      <c r="K26" s="22"/>
    </row>
    <row r="27" spans="2:11" x14ac:dyDescent="0.3">
      <c r="B27" s="24" t="s">
        <v>16</v>
      </c>
      <c r="C27" s="31">
        <f>C23</f>
        <v>134.39536407965397</v>
      </c>
      <c r="D27" s="31">
        <f t="shared" ref="D27:F27" si="4">D23</f>
        <v>303</v>
      </c>
      <c r="E27" s="31">
        <f t="shared" si="4"/>
        <v>705.55461882987493</v>
      </c>
      <c r="F27" s="34">
        <f t="shared" si="4"/>
        <v>1069.3879999999999</v>
      </c>
      <c r="G27" s="31"/>
      <c r="H27" s="31"/>
      <c r="J27" s="31"/>
      <c r="K27" s="31"/>
    </row>
    <row r="28" spans="2:11" s="36" customFormat="1" x14ac:dyDescent="0.3">
      <c r="B28" s="35" t="s">
        <v>19</v>
      </c>
      <c r="C28" s="20"/>
      <c r="D28" s="20"/>
      <c r="E28" s="20"/>
      <c r="F28" s="21"/>
      <c r="G28" s="20"/>
      <c r="H28" s="20"/>
      <c r="J28" s="20"/>
      <c r="K28" s="20"/>
    </row>
    <row r="29" spans="2:11" s="36" customFormat="1" x14ac:dyDescent="0.3">
      <c r="B29" s="17" t="s">
        <v>12</v>
      </c>
      <c r="C29" s="20">
        <f t="shared" ref="C29:F30" si="5">-C16</f>
        <v>653.93053549210936</v>
      </c>
      <c r="D29" s="20">
        <f t="shared" si="5"/>
        <v>394</v>
      </c>
      <c r="E29" s="20">
        <f t="shared" si="5"/>
        <v>2290.5665384620465</v>
      </c>
      <c r="F29" s="21">
        <f t="shared" si="5"/>
        <v>1533</v>
      </c>
      <c r="G29" s="20"/>
      <c r="H29" s="20"/>
      <c r="J29" s="20"/>
      <c r="K29" s="20"/>
    </row>
    <row r="30" spans="2:11" s="36" customFormat="1" x14ac:dyDescent="0.3">
      <c r="B30" s="17" t="s">
        <v>13</v>
      </c>
      <c r="C30" s="20">
        <f t="shared" si="5"/>
        <v>280.61635541182625</v>
      </c>
      <c r="D30" s="20">
        <f t="shared" si="5"/>
        <v>199</v>
      </c>
      <c r="E30" s="20">
        <f t="shared" si="5"/>
        <v>860.25567638921427</v>
      </c>
      <c r="F30" s="21">
        <f t="shared" si="5"/>
        <v>682</v>
      </c>
      <c r="G30" s="20"/>
      <c r="H30" s="20"/>
      <c r="J30" s="20"/>
      <c r="K30" s="20"/>
    </row>
    <row r="31" spans="2:11" s="36" customFormat="1" x14ac:dyDescent="0.3">
      <c r="B31" s="17" t="s">
        <v>22</v>
      </c>
      <c r="C31" s="20">
        <f>-C19</f>
        <v>0</v>
      </c>
      <c r="D31" s="20">
        <f t="shared" ref="D31:F31" si="6">-D19</f>
        <v>0</v>
      </c>
      <c r="E31" s="20">
        <f t="shared" si="6"/>
        <v>2.9750084316898247</v>
      </c>
      <c r="F31" s="21">
        <f t="shared" si="6"/>
        <v>52</v>
      </c>
      <c r="G31" s="20"/>
      <c r="H31" s="20"/>
      <c r="J31" s="20"/>
      <c r="K31" s="20"/>
    </row>
    <row r="32" spans="2:11" s="36" customFormat="1" x14ac:dyDescent="0.3">
      <c r="B32" s="17" t="s">
        <v>15</v>
      </c>
      <c r="C32" s="20">
        <f>-C22</f>
        <v>35.841031502994824</v>
      </c>
      <c r="D32" s="20">
        <f t="shared" ref="D32:F32" si="7">-D22</f>
        <v>3</v>
      </c>
      <c r="E32" s="20">
        <f t="shared" si="7"/>
        <v>314.255890839313</v>
      </c>
      <c r="F32" s="21">
        <f t="shared" si="7"/>
        <v>2.6120000000000001</v>
      </c>
      <c r="G32" s="20"/>
      <c r="H32" s="20"/>
      <c r="J32" s="20"/>
      <c r="K32" s="20"/>
    </row>
    <row r="33" spans="2:11" x14ac:dyDescent="0.3">
      <c r="B33" s="17" t="s">
        <v>20</v>
      </c>
      <c r="C33" s="20"/>
      <c r="D33" s="20"/>
      <c r="E33" s="20"/>
      <c r="F33" s="21"/>
      <c r="G33" s="20"/>
      <c r="H33" s="20"/>
      <c r="J33" s="20"/>
      <c r="K33" s="20"/>
    </row>
    <row r="34" spans="2:11" x14ac:dyDescent="0.3">
      <c r="B34" s="17" t="s">
        <v>23</v>
      </c>
      <c r="C34" s="20">
        <f>-C18</f>
        <v>-66.620999999999995</v>
      </c>
      <c r="D34" s="20">
        <f t="shared" ref="D34:F34" si="8">-D18</f>
        <v>-77</v>
      </c>
      <c r="E34" s="20">
        <f t="shared" si="8"/>
        <v>-97.154951167199243</v>
      </c>
      <c r="F34" s="21">
        <f t="shared" si="8"/>
        <v>-217</v>
      </c>
      <c r="G34" s="20"/>
      <c r="H34" s="20"/>
      <c r="J34" s="20"/>
      <c r="K34" s="20"/>
    </row>
    <row r="35" spans="2:11" x14ac:dyDescent="0.3">
      <c r="B35" s="24" t="s">
        <v>11</v>
      </c>
      <c r="C35" s="25">
        <f>SUM(C27:C34)</f>
        <v>1038.1622864865842</v>
      </c>
      <c r="D35" s="25">
        <f t="shared" ref="D35:F35" si="9">SUM(D27:D34)</f>
        <v>822</v>
      </c>
      <c r="E35" s="25">
        <f t="shared" si="9"/>
        <v>4076.4527817849394</v>
      </c>
      <c r="F35" s="26">
        <f t="shared" si="9"/>
        <v>3122</v>
      </c>
      <c r="G35" s="31"/>
      <c r="H35" s="31"/>
      <c r="J35" s="31"/>
      <c r="K35" s="31"/>
    </row>
    <row r="36" spans="2:11" x14ac:dyDescent="0.3">
      <c r="B36" s="37"/>
      <c r="C36" s="38"/>
      <c r="D36" s="39"/>
      <c r="E36" s="38"/>
      <c r="F36" s="40"/>
    </row>
    <row r="38" spans="2:11" x14ac:dyDescent="0.3">
      <c r="C38" s="4" t="s">
        <v>24</v>
      </c>
    </row>
    <row r="40" spans="2:11" x14ac:dyDescent="0.3">
      <c r="C40" s="41" t="s">
        <v>30</v>
      </c>
    </row>
    <row r="41" spans="2:11" x14ac:dyDescent="0.3">
      <c r="B41" s="42" t="s">
        <v>28</v>
      </c>
      <c r="C41" s="42">
        <f>ROUND((332604.913+2318356.41433635)/1000,0)</f>
        <v>2651</v>
      </c>
    </row>
    <row r="42" spans="2:11" x14ac:dyDescent="0.3">
      <c r="B42" s="42" t="s">
        <v>29</v>
      </c>
      <c r="C42" s="42">
        <v>4405</v>
      </c>
    </row>
  </sheetData>
  <hyperlinks>
    <hyperlink ref="F7" r:id="rId1" display="2014@" xr:uid="{B3E4D7BB-FC61-4813-9718-950436175A0B}"/>
    <hyperlink ref="C7" r:id="rId2" display="2014@" xr:uid="{01CDB8C2-B1A4-4492-A81B-7CF81286E6B0}"/>
    <hyperlink ref="E7" r:id="rId3" display="2014@" xr:uid="{75009F09-4C6C-4CDD-B252-93862FE0AAD6}"/>
    <hyperlink ref="D7" r:id="rId4" display="2014@" xr:uid="{ADD6AF5B-8AAD-4942-A843-79564B0AABA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DBA0-245F-4664-9ED9-157A158DEC91}">
  <sheetPr>
    <pageSetUpPr fitToPage="1"/>
  </sheetPr>
  <dimension ref="B1:O53"/>
  <sheetViews>
    <sheetView showGridLines="0" showZeros="0" tabSelected="1" zoomScaleNormal="100" workbookViewId="0">
      <selection activeCell="B3" sqref="B3:F39"/>
    </sheetView>
  </sheetViews>
  <sheetFormatPr defaultColWidth="9.1796875" defaultRowHeight="12" x14ac:dyDescent="0.3"/>
  <cols>
    <col min="1" max="1" width="2.54296875" style="4" customWidth="1"/>
    <col min="2" max="2" width="37.453125" style="4" customWidth="1"/>
    <col min="3" max="4" width="12.453125" style="4" bestFit="1" customWidth="1"/>
    <col min="5" max="6" width="9.90625" style="4" bestFit="1" customWidth="1"/>
    <col min="7" max="7" width="14" style="4" hidden="1" customWidth="1"/>
    <col min="8" max="14" width="9.1796875" style="4"/>
    <col min="15" max="15" width="28.1796875" style="4" customWidth="1"/>
    <col min="16" max="16384" width="9.1796875" style="4"/>
  </cols>
  <sheetData>
    <row r="1" spans="2:15" x14ac:dyDescent="0.3">
      <c r="B1" s="1" t="s">
        <v>0</v>
      </c>
      <c r="C1" s="2"/>
      <c r="D1" s="2"/>
    </row>
    <row r="2" spans="2:15" x14ac:dyDescent="0.3">
      <c r="D2" s="125"/>
    </row>
    <row r="3" spans="2:15" x14ac:dyDescent="0.3">
      <c r="B3" s="1" t="s">
        <v>1</v>
      </c>
    </row>
    <row r="4" spans="2:15" ht="12.5" thickBot="1" x14ac:dyDescent="0.35">
      <c r="B4" s="1" t="s">
        <v>2</v>
      </c>
    </row>
    <row r="5" spans="2:15" x14ac:dyDescent="0.3">
      <c r="B5" s="140"/>
      <c r="C5" s="161" t="s">
        <v>89</v>
      </c>
      <c r="D5" s="161" t="s">
        <v>90</v>
      </c>
      <c r="E5" s="161" t="s">
        <v>91</v>
      </c>
      <c r="F5" s="163" t="s">
        <v>92</v>
      </c>
      <c r="G5" s="12"/>
    </row>
    <row r="6" spans="2:15" x14ac:dyDescent="0.3">
      <c r="B6" s="141" t="s">
        <v>5</v>
      </c>
      <c r="C6" s="162"/>
      <c r="D6" s="162"/>
      <c r="E6" s="162"/>
      <c r="F6" s="164"/>
      <c r="G6" s="10"/>
    </row>
    <row r="7" spans="2:15" x14ac:dyDescent="0.3">
      <c r="B7" s="141"/>
      <c r="C7" s="162"/>
      <c r="D7" s="162"/>
      <c r="E7" s="162"/>
      <c r="F7" s="164"/>
      <c r="G7" s="12"/>
    </row>
    <row r="8" spans="2:15" x14ac:dyDescent="0.3">
      <c r="B8" s="142"/>
      <c r="C8" s="147"/>
      <c r="D8" s="147"/>
      <c r="E8" s="147"/>
      <c r="F8" s="148" t="s">
        <v>7</v>
      </c>
      <c r="G8" s="12"/>
      <c r="I8" s="160" t="s">
        <v>93</v>
      </c>
      <c r="J8" s="160"/>
      <c r="K8" s="160" t="s">
        <v>94</v>
      </c>
      <c r="L8" s="160"/>
    </row>
    <row r="9" spans="2:15" x14ac:dyDescent="0.3">
      <c r="B9" s="143"/>
      <c r="F9" s="144"/>
    </row>
    <row r="10" spans="2:15" x14ac:dyDescent="0.3">
      <c r="B10" s="143" t="s">
        <v>8</v>
      </c>
      <c r="C10" s="20">
        <v>9637</v>
      </c>
      <c r="D10" s="20">
        <v>8861</v>
      </c>
      <c r="E10" s="20">
        <v>35634</v>
      </c>
      <c r="F10" s="126">
        <v>33404</v>
      </c>
      <c r="G10" s="20">
        <f>ROUND(C10,0)</f>
        <v>9637</v>
      </c>
      <c r="I10" s="22">
        <f>C10-D10</f>
        <v>776</v>
      </c>
      <c r="J10" s="159">
        <f>I10/D10</f>
        <v>8.7574765827784673E-2</v>
      </c>
      <c r="K10" s="22">
        <f>E10-F10</f>
        <v>2230</v>
      </c>
      <c r="L10" s="159">
        <f>K10/F10</f>
        <v>6.6758472039276734E-2</v>
      </c>
    </row>
    <row r="11" spans="2:15" ht="16.5" customHeight="1" x14ac:dyDescent="0.3">
      <c r="B11" s="143" t="s">
        <v>9</v>
      </c>
      <c r="C11" s="20">
        <v>-6108</v>
      </c>
      <c r="D11" s="20">
        <v>-5714</v>
      </c>
      <c r="E11" s="20">
        <v>-22378</v>
      </c>
      <c r="F11" s="126">
        <v>-21379</v>
      </c>
      <c r="G11" s="20">
        <f t="shared" ref="G11:G12" si="0">ROUND(C11,0)</f>
        <v>-6108</v>
      </c>
      <c r="O11" s="22"/>
    </row>
    <row r="12" spans="2:15" ht="16.5" customHeight="1" x14ac:dyDescent="0.3">
      <c r="B12" s="143" t="s">
        <v>10</v>
      </c>
      <c r="C12" s="20">
        <v>-1705</v>
      </c>
      <c r="D12" s="20">
        <v>-1510</v>
      </c>
      <c r="E12" s="20">
        <v>-6500</v>
      </c>
      <c r="F12" s="126">
        <v>-5734</v>
      </c>
      <c r="G12" s="20">
        <f t="shared" si="0"/>
        <v>-1705</v>
      </c>
    </row>
    <row r="13" spans="2:15" ht="16.5" customHeight="1" x14ac:dyDescent="0.3">
      <c r="B13" s="143"/>
      <c r="C13" s="20"/>
      <c r="D13" s="20"/>
      <c r="E13" s="22"/>
      <c r="F13" s="145"/>
      <c r="G13" s="22"/>
    </row>
    <row r="14" spans="2:15" ht="16.5" customHeight="1" x14ac:dyDescent="0.3">
      <c r="B14" s="146" t="s">
        <v>11</v>
      </c>
      <c r="C14" s="25">
        <f t="shared" ref="C14:G14" si="1">SUM(C10:C12)</f>
        <v>1824</v>
      </c>
      <c r="D14" s="25">
        <f t="shared" si="1"/>
        <v>1637</v>
      </c>
      <c r="E14" s="25">
        <f t="shared" si="1"/>
        <v>6756</v>
      </c>
      <c r="F14" s="127">
        <f t="shared" si="1"/>
        <v>6291</v>
      </c>
      <c r="G14" s="47">
        <f t="shared" si="1"/>
        <v>1824</v>
      </c>
      <c r="I14" s="22">
        <f>C14-D14</f>
        <v>187</v>
      </c>
      <c r="J14" s="159">
        <f>I14/D14</f>
        <v>0.11423335369578497</v>
      </c>
      <c r="K14" s="22">
        <f>E14-F14</f>
        <v>465</v>
      </c>
      <c r="L14" s="159">
        <f>K14/F14</f>
        <v>7.391511683357177E-2</v>
      </c>
    </row>
    <row r="15" spans="2:15" ht="16.5" customHeight="1" x14ac:dyDescent="0.3">
      <c r="B15" s="143"/>
      <c r="C15" s="20"/>
      <c r="D15" s="20"/>
      <c r="E15" s="22"/>
      <c r="F15" s="145"/>
      <c r="G15" s="22"/>
    </row>
    <row r="16" spans="2:15" ht="16.5" customHeight="1" x14ac:dyDescent="0.3">
      <c r="B16" s="143" t="s">
        <v>12</v>
      </c>
      <c r="C16" s="20">
        <v>-1259</v>
      </c>
      <c r="D16" s="20">
        <v>-1092</v>
      </c>
      <c r="E16" s="20">
        <v>-4773</v>
      </c>
      <c r="F16" s="126">
        <v>-3972</v>
      </c>
      <c r="G16" s="20">
        <f t="shared" ref="G16:G18" si="2">ROUND(C16,0)</f>
        <v>-1259</v>
      </c>
    </row>
    <row r="17" spans="2:12" ht="16.5" customHeight="1" x14ac:dyDescent="0.3">
      <c r="B17" s="143" t="s">
        <v>13</v>
      </c>
      <c r="C17" s="20">
        <v>-548</v>
      </c>
      <c r="D17" s="20">
        <v>-367</v>
      </c>
      <c r="E17" s="20">
        <v>-1936</v>
      </c>
      <c r="F17" s="126">
        <v>-1430</v>
      </c>
      <c r="G17" s="20">
        <f t="shared" si="2"/>
        <v>-548</v>
      </c>
    </row>
    <row r="18" spans="2:12" ht="15.75" customHeight="1" x14ac:dyDescent="0.3">
      <c r="B18" s="143" t="s">
        <v>21</v>
      </c>
      <c r="C18" s="20">
        <v>119</v>
      </c>
      <c r="D18" s="20">
        <v>2</v>
      </c>
      <c r="E18" s="20">
        <v>185</v>
      </c>
      <c r="F18" s="126">
        <v>132</v>
      </c>
      <c r="G18" s="20">
        <f t="shared" si="2"/>
        <v>119</v>
      </c>
    </row>
    <row r="19" spans="2:12" hidden="1" x14ac:dyDescent="0.3">
      <c r="B19" s="143" t="s">
        <v>22</v>
      </c>
      <c r="C19" s="20">
        <v>0</v>
      </c>
      <c r="D19" s="20">
        <v>0</v>
      </c>
      <c r="E19" s="20">
        <v>0</v>
      </c>
      <c r="F19" s="126">
        <v>0</v>
      </c>
      <c r="G19" s="20"/>
    </row>
    <row r="20" spans="2:12" ht="12.5" thickBot="1" x14ac:dyDescent="0.35">
      <c r="B20" s="146"/>
      <c r="C20" s="20"/>
      <c r="D20" s="20"/>
      <c r="E20" s="22"/>
      <c r="F20" s="145"/>
      <c r="G20" s="22"/>
    </row>
    <row r="21" spans="2:12" ht="12.5" thickBot="1" x14ac:dyDescent="0.35">
      <c r="B21" s="146" t="s">
        <v>14</v>
      </c>
      <c r="C21" s="138">
        <f t="shared" ref="C21:F21" si="3">SUM(C14:C20)</f>
        <v>136</v>
      </c>
      <c r="D21" s="138">
        <f t="shared" si="3"/>
        <v>180</v>
      </c>
      <c r="E21" s="138">
        <f t="shared" si="3"/>
        <v>232</v>
      </c>
      <c r="F21" s="139">
        <f t="shared" si="3"/>
        <v>1021</v>
      </c>
      <c r="G21" s="20"/>
      <c r="I21" s="22">
        <f>C21-D21</f>
        <v>-44</v>
      </c>
      <c r="J21" s="159">
        <f>I21/D21</f>
        <v>-0.24444444444444444</v>
      </c>
      <c r="K21" s="22">
        <f>E21-F21</f>
        <v>-789</v>
      </c>
      <c r="L21" s="159">
        <f>K21/F21</f>
        <v>-0.77277179236043092</v>
      </c>
    </row>
    <row r="22" spans="2:12" x14ac:dyDescent="0.3">
      <c r="B22" s="146" t="s">
        <v>38</v>
      </c>
      <c r="C22" s="20">
        <v>-158</v>
      </c>
      <c r="D22" s="20">
        <v>-105</v>
      </c>
      <c r="E22" s="20">
        <v>-515</v>
      </c>
      <c r="F22" s="126">
        <v>-526</v>
      </c>
      <c r="G22" s="20">
        <f t="shared" ref="G22:G23" si="4">ROUND(C22,0)</f>
        <v>-158</v>
      </c>
    </row>
    <row r="23" spans="2:12" x14ac:dyDescent="0.3">
      <c r="B23" s="146" t="s">
        <v>39</v>
      </c>
      <c r="C23" s="20">
        <v>60</v>
      </c>
      <c r="D23" s="20">
        <v>-41</v>
      </c>
      <c r="E23" s="20">
        <v>332</v>
      </c>
      <c r="F23" s="126">
        <v>179</v>
      </c>
      <c r="G23" s="20">
        <f t="shared" si="4"/>
        <v>60</v>
      </c>
    </row>
    <row r="24" spans="2:12" ht="12.5" thickBot="1" x14ac:dyDescent="0.35">
      <c r="B24" s="149" t="s">
        <v>16</v>
      </c>
      <c r="C24" s="29">
        <f>SUM(C21:C23)</f>
        <v>38</v>
      </c>
      <c r="D24" s="29">
        <f>SUM(D21:D23)</f>
        <v>34</v>
      </c>
      <c r="E24" s="29">
        <f>SUM(E21:E23)</f>
        <v>49</v>
      </c>
      <c r="F24" s="150">
        <f>SUM(F21:F23)</f>
        <v>674</v>
      </c>
      <c r="I24" s="22">
        <f>C24-D24</f>
        <v>4</v>
      </c>
      <c r="J24" s="159">
        <f>I24/D24</f>
        <v>0.11764705882352941</v>
      </c>
      <c r="K24" s="22">
        <f>E24-F24</f>
        <v>-625</v>
      </c>
      <c r="L24" s="159">
        <f>K24/F24</f>
        <v>-0.92729970326409494</v>
      </c>
    </row>
    <row r="25" spans="2:12" x14ac:dyDescent="0.3">
      <c r="B25" s="146"/>
      <c r="C25" s="31"/>
      <c r="D25" s="31"/>
      <c r="E25" s="22"/>
      <c r="F25" s="145"/>
    </row>
    <row r="26" spans="2:12" x14ac:dyDescent="0.3">
      <c r="B26" s="151" t="s">
        <v>17</v>
      </c>
      <c r="C26" s="20"/>
      <c r="D26" s="20"/>
      <c r="E26" s="22"/>
      <c r="F26" s="145"/>
    </row>
    <row r="27" spans="2:12" x14ac:dyDescent="0.3">
      <c r="B27" s="152" t="s">
        <v>18</v>
      </c>
      <c r="C27" s="20"/>
      <c r="D27" s="20"/>
      <c r="E27" s="22"/>
      <c r="F27" s="145"/>
    </row>
    <row r="28" spans="2:12" x14ac:dyDescent="0.3">
      <c r="B28" s="146" t="s">
        <v>16</v>
      </c>
      <c r="C28" s="31">
        <f>C24</f>
        <v>38</v>
      </c>
      <c r="D28" s="31">
        <f t="shared" ref="D28:F28" si="5">D24</f>
        <v>34</v>
      </c>
      <c r="E28" s="31">
        <f t="shared" si="5"/>
        <v>49</v>
      </c>
      <c r="F28" s="153">
        <f t="shared" si="5"/>
        <v>674</v>
      </c>
      <c r="G28" s="20">
        <f t="shared" ref="G28:G37" si="6">ROUND(C28,0)</f>
        <v>38</v>
      </c>
    </row>
    <row r="29" spans="2:12" x14ac:dyDescent="0.3">
      <c r="B29" s="154" t="s">
        <v>19</v>
      </c>
      <c r="C29" s="20"/>
      <c r="D29" s="20"/>
      <c r="E29" s="20"/>
      <c r="F29" s="126"/>
      <c r="G29" s="20">
        <f t="shared" si="6"/>
        <v>0</v>
      </c>
    </row>
    <row r="30" spans="2:12" x14ac:dyDescent="0.3">
      <c r="B30" s="143" t="s">
        <v>12</v>
      </c>
      <c r="C30" s="20">
        <f t="shared" ref="C30:F30" si="7">-C16</f>
        <v>1259</v>
      </c>
      <c r="D30" s="20">
        <f t="shared" si="7"/>
        <v>1092</v>
      </c>
      <c r="E30" s="20">
        <f t="shared" si="7"/>
        <v>4773</v>
      </c>
      <c r="F30" s="126">
        <f t="shared" si="7"/>
        <v>3972</v>
      </c>
      <c r="G30" s="20">
        <f t="shared" si="6"/>
        <v>1259</v>
      </c>
    </row>
    <row r="31" spans="2:12" x14ac:dyDescent="0.3">
      <c r="B31" s="143" t="s">
        <v>88</v>
      </c>
      <c r="C31" s="20"/>
      <c r="D31" s="20"/>
      <c r="E31" s="20"/>
      <c r="F31" s="126"/>
      <c r="G31" s="20">
        <f t="shared" si="6"/>
        <v>0</v>
      </c>
    </row>
    <row r="32" spans="2:12" x14ac:dyDescent="0.3">
      <c r="B32" s="143" t="s">
        <v>13</v>
      </c>
      <c r="C32" s="20">
        <f>-C17</f>
        <v>548</v>
      </c>
      <c r="D32" s="20">
        <f>-D17</f>
        <v>367</v>
      </c>
      <c r="E32" s="20">
        <f>-E17</f>
        <v>1936</v>
      </c>
      <c r="F32" s="126">
        <f>-F17</f>
        <v>1430</v>
      </c>
      <c r="G32" s="20">
        <f t="shared" si="6"/>
        <v>548</v>
      </c>
    </row>
    <row r="33" spans="2:7" hidden="1" x14ac:dyDescent="0.3">
      <c r="B33" s="143" t="s">
        <v>22</v>
      </c>
      <c r="C33" s="20">
        <f>-C19</f>
        <v>0</v>
      </c>
      <c r="D33" s="20">
        <f>-D19</f>
        <v>0</v>
      </c>
      <c r="E33" s="20">
        <f>-E19</f>
        <v>0</v>
      </c>
      <c r="F33" s="126">
        <f>-F19</f>
        <v>0</v>
      </c>
      <c r="G33" s="20">
        <f t="shared" si="6"/>
        <v>0</v>
      </c>
    </row>
    <row r="34" spans="2:7" x14ac:dyDescent="0.3">
      <c r="B34" s="143" t="s">
        <v>20</v>
      </c>
      <c r="C34" s="20"/>
      <c r="D34" s="20"/>
      <c r="E34" s="20"/>
      <c r="F34" s="126"/>
      <c r="G34" s="20"/>
    </row>
    <row r="35" spans="2:7" x14ac:dyDescent="0.3">
      <c r="B35" s="143" t="s">
        <v>38</v>
      </c>
      <c r="C35" s="20">
        <f>-C22</f>
        <v>158</v>
      </c>
      <c r="D35" s="20">
        <f t="shared" ref="D35:F35" si="8">-D22</f>
        <v>105</v>
      </c>
      <c r="E35" s="20">
        <f t="shared" si="8"/>
        <v>515</v>
      </c>
      <c r="F35" s="126">
        <f t="shared" si="8"/>
        <v>526</v>
      </c>
      <c r="G35" s="20">
        <f t="shared" si="6"/>
        <v>158</v>
      </c>
    </row>
    <row r="36" spans="2:7" x14ac:dyDescent="0.3">
      <c r="B36" s="143" t="s">
        <v>40</v>
      </c>
      <c r="C36" s="20">
        <f>-C23</f>
        <v>-60</v>
      </c>
      <c r="D36" s="20">
        <f>-D23</f>
        <v>41</v>
      </c>
      <c r="E36" s="20">
        <f>-E23</f>
        <v>-332</v>
      </c>
      <c r="F36" s="126">
        <f>-F23</f>
        <v>-179</v>
      </c>
      <c r="G36" s="20">
        <f t="shared" si="6"/>
        <v>-60</v>
      </c>
    </row>
    <row r="37" spans="2:7" x14ac:dyDescent="0.3">
      <c r="B37" s="143" t="s">
        <v>23</v>
      </c>
      <c r="C37" s="20">
        <f>-C18</f>
        <v>-119</v>
      </c>
      <c r="D37" s="20">
        <f>-D18</f>
        <v>-2</v>
      </c>
      <c r="E37" s="20">
        <f>-E18</f>
        <v>-185</v>
      </c>
      <c r="F37" s="126">
        <f>-F18</f>
        <v>-132</v>
      </c>
      <c r="G37" s="20">
        <f t="shared" si="6"/>
        <v>-119</v>
      </c>
    </row>
    <row r="38" spans="2:7" x14ac:dyDescent="0.3">
      <c r="B38" s="146" t="s">
        <v>11</v>
      </c>
      <c r="C38" s="25">
        <f>SUM(C28:C37)</f>
        <v>1824</v>
      </c>
      <c r="D38" s="25">
        <f>SUM(D28:D37)</f>
        <v>1637</v>
      </c>
      <c r="E38" s="25">
        <f>SUM(E28:E37)</f>
        <v>6756</v>
      </c>
      <c r="F38" s="127">
        <f>SUM(F28:F37)</f>
        <v>6291</v>
      </c>
    </row>
    <row r="39" spans="2:7" ht="12.5" thickBot="1" x14ac:dyDescent="0.35">
      <c r="B39" s="155"/>
      <c r="C39" s="156"/>
      <c r="D39" s="157"/>
      <c r="E39" s="156"/>
      <c r="F39" s="158"/>
    </row>
    <row r="44" spans="2:7" x14ac:dyDescent="0.3">
      <c r="C44" s="41" t="s">
        <v>37</v>
      </c>
    </row>
    <row r="45" spans="2:7" x14ac:dyDescent="0.3">
      <c r="B45" s="42" t="s">
        <v>28</v>
      </c>
      <c r="C45" s="46"/>
    </row>
    <row r="46" spans="2:7" x14ac:dyDescent="0.3">
      <c r="B46" s="42" t="s">
        <v>36</v>
      </c>
      <c r="C46" s="46"/>
    </row>
    <row r="53" spans="2:2" x14ac:dyDescent="0.3">
      <c r="B53" s="4" t="s">
        <v>95</v>
      </c>
    </row>
  </sheetData>
  <mergeCells count="6">
    <mergeCell ref="K8:L8"/>
    <mergeCell ref="C5:C7"/>
    <mergeCell ref="D5:D7"/>
    <mergeCell ref="E5:E7"/>
    <mergeCell ref="F5:F7"/>
    <mergeCell ref="I8:J8"/>
  </mergeCells>
  <pageMargins left="0.38" right="0.24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FBA0-2A12-4D36-871C-A2B600A63F0A}">
  <dimension ref="B2:H9"/>
  <sheetViews>
    <sheetView showGridLines="0" workbookViewId="0"/>
  </sheetViews>
  <sheetFormatPr defaultRowHeight="12.5" x14ac:dyDescent="0.25"/>
  <cols>
    <col min="2" max="2" width="11.1796875" bestFit="1" customWidth="1"/>
    <col min="3" max="4" width="9.453125" bestFit="1" customWidth="1"/>
    <col min="5" max="6" width="10.1796875" bestFit="1" customWidth="1"/>
    <col min="7" max="8" width="9.453125" style="52" customWidth="1"/>
  </cols>
  <sheetData>
    <row r="2" spans="2:8" ht="13" x14ac:dyDescent="0.3">
      <c r="H2" s="58" t="s">
        <v>47</v>
      </c>
    </row>
    <row r="3" spans="2:8" ht="26" x14ac:dyDescent="0.25">
      <c r="B3" s="53" t="s">
        <v>5</v>
      </c>
      <c r="C3" s="56" t="s">
        <v>49</v>
      </c>
      <c r="D3" s="54" t="s">
        <v>43</v>
      </c>
      <c r="E3" s="56" t="s">
        <v>48</v>
      </c>
      <c r="F3" s="54" t="s">
        <v>44</v>
      </c>
      <c r="G3" s="55" t="s">
        <v>45</v>
      </c>
      <c r="H3" s="55" t="s">
        <v>46</v>
      </c>
    </row>
    <row r="4" spans="2:8" ht="13" x14ac:dyDescent="0.3">
      <c r="B4" s="49" t="s">
        <v>8</v>
      </c>
      <c r="C4" s="57" cm="1">
        <f t="array" ref="C4:F4">'Press Release March 24'!C10:F10</f>
        <v>9637</v>
      </c>
      <c r="D4" s="50">
        <v>8861</v>
      </c>
      <c r="E4" s="57">
        <v>35634</v>
      </c>
      <c r="F4" s="50">
        <v>33404</v>
      </c>
      <c r="G4" s="51">
        <f>(C4-D4)/D4</f>
        <v>8.7574765827784673E-2</v>
      </c>
      <c r="H4" s="51">
        <f>(E4-F4)/F4</f>
        <v>6.6758472039276734E-2</v>
      </c>
    </row>
    <row r="5" spans="2:8" ht="13" x14ac:dyDescent="0.3">
      <c r="B5" s="49" t="s">
        <v>11</v>
      </c>
      <c r="C5" s="57">
        <f>'Press Release March 24'!C14</f>
        <v>1824</v>
      </c>
      <c r="D5" s="50">
        <f>'Press Release March 24'!D14</f>
        <v>1637</v>
      </c>
      <c r="E5" s="57">
        <f>'Press Release March 24'!E14</f>
        <v>6756</v>
      </c>
      <c r="F5" s="50">
        <f>'Press Release March 24'!F14</f>
        <v>6291</v>
      </c>
      <c r="G5" s="51">
        <f t="shared" ref="G5:G7" si="0">(C5-D5)/D5</f>
        <v>0.11423335369578497</v>
      </c>
      <c r="H5" s="51">
        <f t="shared" ref="H5:H7" si="1">(E5-F5)/F5</f>
        <v>7.391511683357177E-2</v>
      </c>
    </row>
    <row r="6" spans="2:8" ht="13" x14ac:dyDescent="0.3">
      <c r="B6" s="49" t="s">
        <v>41</v>
      </c>
      <c r="C6" s="57">
        <f>'Press Release March 24'!C21</f>
        <v>136</v>
      </c>
      <c r="D6" s="50">
        <f>'Press Release March 24'!D21</f>
        <v>180</v>
      </c>
      <c r="E6" s="57">
        <f>'Press Release March 24'!E21</f>
        <v>232</v>
      </c>
      <c r="F6" s="50">
        <f>'Press Release March 24'!F21</f>
        <v>1021</v>
      </c>
      <c r="G6" s="51">
        <f t="shared" si="0"/>
        <v>-0.24444444444444444</v>
      </c>
      <c r="H6" s="51">
        <f t="shared" si="1"/>
        <v>-0.77277179236043092</v>
      </c>
    </row>
    <row r="7" spans="2:8" ht="13" x14ac:dyDescent="0.3">
      <c r="B7" s="49" t="s">
        <v>42</v>
      </c>
      <c r="C7" s="57">
        <f>+'Press Release March 24'!C24</f>
        <v>38</v>
      </c>
      <c r="D7" s="50">
        <f>'Press Release March 24'!D24</f>
        <v>34</v>
      </c>
      <c r="E7" s="57">
        <f>'Press Release March 24'!E24</f>
        <v>49</v>
      </c>
      <c r="F7" s="128">
        <f>'Press Release March 24'!F24</f>
        <v>674</v>
      </c>
      <c r="G7" s="51">
        <f t="shared" si="0"/>
        <v>0.11764705882352941</v>
      </c>
      <c r="H7" s="51">
        <f t="shared" si="1"/>
        <v>-0.92729970326409494</v>
      </c>
    </row>
    <row r="9" spans="2:8" ht="13" x14ac:dyDescent="0.3">
      <c r="B9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29F0-BE39-4A4B-9781-30A0615FA409}">
  <dimension ref="A1:AL52"/>
  <sheetViews>
    <sheetView workbookViewId="0">
      <selection activeCell="E7" sqref="E7"/>
    </sheetView>
  </sheetViews>
  <sheetFormatPr defaultColWidth="9.1796875" defaultRowHeight="12.5" x14ac:dyDescent="0.25"/>
  <cols>
    <col min="1" max="1" width="12.453125" bestFit="1" customWidth="1"/>
    <col min="2" max="2" width="37.54296875" bestFit="1" customWidth="1"/>
    <col min="3" max="3" width="5.81640625" bestFit="1" customWidth="1"/>
    <col min="4" max="4" width="17.1796875" style="59" bestFit="1" customWidth="1"/>
    <col min="5" max="5" width="16.81640625" style="59" bestFit="1" customWidth="1"/>
    <col min="6" max="6" width="13.81640625" style="59" bestFit="1" customWidth="1"/>
    <col min="7" max="7" width="14.1796875" style="59" bestFit="1" customWidth="1"/>
    <col min="8" max="8" width="14.1796875" style="59" customWidth="1"/>
    <col min="9" max="9" width="16.453125" style="59" bestFit="1" customWidth="1"/>
    <col min="10" max="10" width="14" style="59" bestFit="1" customWidth="1"/>
    <col min="11" max="11" width="16.1796875" style="59" bestFit="1" customWidth="1"/>
    <col min="12" max="12" width="14" style="59" bestFit="1" customWidth="1"/>
    <col min="13" max="13" width="14.1796875" style="59" bestFit="1" customWidth="1"/>
    <col min="14" max="14" width="14" style="59" bestFit="1" customWidth="1"/>
    <col min="15" max="15" width="14" bestFit="1" customWidth="1"/>
    <col min="16" max="16" width="9.81640625" bestFit="1" customWidth="1"/>
    <col min="17" max="20" width="14.1796875" customWidth="1"/>
    <col min="21" max="21" width="9.1796875" bestFit="1" customWidth="1"/>
    <col min="23" max="23" width="12.453125" bestFit="1" customWidth="1"/>
    <col min="24" max="24" width="10.1796875" bestFit="1" customWidth="1"/>
    <col min="25" max="26" width="10.1796875" customWidth="1"/>
    <col min="28" max="28" width="10.1796875" bestFit="1" customWidth="1"/>
    <col min="30" max="30" width="10.81640625" bestFit="1" customWidth="1"/>
    <col min="31" max="31" width="9.81640625" bestFit="1" customWidth="1"/>
    <col min="32" max="33" width="11.81640625" bestFit="1" customWidth="1"/>
  </cols>
  <sheetData>
    <row r="1" spans="1:38" x14ac:dyDescent="0.25">
      <c r="D1"/>
    </row>
    <row r="3" spans="1:38" ht="13" x14ac:dyDescent="0.3">
      <c r="B3" s="48" t="s">
        <v>50</v>
      </c>
      <c r="Z3" s="52"/>
    </row>
    <row r="4" spans="1:38" ht="13" x14ac:dyDescent="0.3">
      <c r="B4" s="48" t="s">
        <v>51</v>
      </c>
    </row>
    <row r="5" spans="1:38" x14ac:dyDescent="0.25">
      <c r="B5" t="s">
        <v>52</v>
      </c>
      <c r="O5" s="59"/>
      <c r="P5" s="59"/>
      <c r="Q5" s="59"/>
      <c r="R5" s="59"/>
      <c r="S5" s="59"/>
      <c r="T5" s="59"/>
      <c r="Z5" s="60"/>
    </row>
    <row r="6" spans="1:38" ht="21.5" x14ac:dyDescent="0.85">
      <c r="D6" s="165" t="s">
        <v>53</v>
      </c>
      <c r="E6" s="166"/>
      <c r="F6" s="167"/>
      <c r="G6" s="168" t="s">
        <v>54</v>
      </c>
      <c r="H6" s="169"/>
      <c r="I6" s="169"/>
      <c r="J6" s="169"/>
      <c r="K6" s="169"/>
      <c r="L6" s="169"/>
      <c r="M6" s="169"/>
      <c r="N6" s="169"/>
      <c r="O6" s="170"/>
      <c r="P6" s="61"/>
      <c r="Q6" s="61"/>
      <c r="R6" s="61"/>
      <c r="S6" s="61"/>
      <c r="T6" s="61"/>
      <c r="U6" s="62"/>
      <c r="X6" s="63"/>
      <c r="Z6" s="64"/>
    </row>
    <row r="7" spans="1:38" ht="39" x14ac:dyDescent="0.25">
      <c r="B7" s="54" t="s">
        <v>55</v>
      </c>
      <c r="C7" s="65" t="s">
        <v>56</v>
      </c>
      <c r="D7" s="66" t="s">
        <v>57</v>
      </c>
      <c r="E7" s="66" t="s">
        <v>58</v>
      </c>
      <c r="F7" s="67" t="s">
        <v>59</v>
      </c>
      <c r="G7" s="129" t="s">
        <v>57</v>
      </c>
      <c r="H7" s="68" t="s">
        <v>60</v>
      </c>
      <c r="I7" s="68" t="s">
        <v>61</v>
      </c>
      <c r="J7" s="68" t="s">
        <v>62</v>
      </c>
      <c r="K7" s="68" t="s">
        <v>63</v>
      </c>
      <c r="L7" s="68" t="s">
        <v>64</v>
      </c>
      <c r="M7" s="68" t="s">
        <v>65</v>
      </c>
      <c r="N7" s="68" t="s">
        <v>66</v>
      </c>
      <c r="O7" s="68" t="s">
        <v>67</v>
      </c>
      <c r="P7" s="69"/>
      <c r="Q7" s="69"/>
      <c r="R7" s="69"/>
      <c r="S7" s="69"/>
      <c r="T7" s="69"/>
      <c r="U7" s="69"/>
      <c r="X7" s="64"/>
    </row>
    <row r="8" spans="1:38" ht="18" customHeight="1" x14ac:dyDescent="0.25">
      <c r="A8" s="130"/>
      <c r="B8" s="71" t="s">
        <v>8</v>
      </c>
      <c r="C8" s="72"/>
      <c r="D8" s="73">
        <f>-'[1]P&amp;L Grouping'!G4</f>
        <v>33403725.665746044</v>
      </c>
      <c r="E8" s="73">
        <v>27025675.279516879</v>
      </c>
      <c r="F8" s="131">
        <f>D8/'[1]Basic data'!$D$15</f>
        <v>406287.82726843323</v>
      </c>
      <c r="G8" s="74">
        <f t="shared" ref="G8:G13" si="0">D8-I8-J8-H8</f>
        <v>8832679.5485663377</v>
      </c>
      <c r="H8" s="73">
        <v>8895537.1066803411</v>
      </c>
      <c r="I8" s="73">
        <v>7937811.2391325356</v>
      </c>
      <c r="J8" s="73">
        <f>7709073.64536683+28624126/1000</f>
        <v>7737697.77136683</v>
      </c>
      <c r="K8" s="73">
        <v>6805465.4883630387</v>
      </c>
      <c r="L8" s="73">
        <v>6783238.0972255543</v>
      </c>
      <c r="M8" s="73">
        <v>6985630.7109919749</v>
      </c>
      <c r="N8" s="73">
        <v>6451340.9829363115</v>
      </c>
      <c r="O8" s="73">
        <v>6860065.0708209714</v>
      </c>
      <c r="P8" s="132">
        <f>D8/100</f>
        <v>334037.25665746047</v>
      </c>
      <c r="Q8" s="132">
        <v>334037</v>
      </c>
      <c r="R8" s="74">
        <f>P8-Q8</f>
        <v>0.2566574604716152</v>
      </c>
      <c r="S8" s="74">
        <f>SUM(L8:N8)</f>
        <v>20220209.791153841</v>
      </c>
      <c r="T8" s="74">
        <f>S8/1000</f>
        <v>20220.20979115384</v>
      </c>
      <c r="U8" s="75">
        <f>ROUND(I8/1000,0)</f>
        <v>7938</v>
      </c>
      <c r="V8">
        <f>ROUND(M8/1000,0)</f>
        <v>6986</v>
      </c>
      <c r="W8" s="64">
        <f>U8-V8</f>
        <v>952</v>
      </c>
      <c r="X8" s="76">
        <f>W8/V8</f>
        <v>0.13627254509018036</v>
      </c>
      <c r="Y8" s="64"/>
      <c r="Z8" s="64"/>
      <c r="AB8" s="64"/>
      <c r="AD8" s="77"/>
      <c r="AE8" s="77"/>
      <c r="AF8" s="74"/>
      <c r="AG8" s="78"/>
      <c r="AH8" s="77"/>
      <c r="AI8" s="76"/>
      <c r="AK8" s="64"/>
      <c r="AL8" s="64"/>
    </row>
    <row r="9" spans="1:38" ht="18" customHeight="1" x14ac:dyDescent="0.25">
      <c r="A9" s="74"/>
      <c r="B9" s="79" t="s">
        <v>68</v>
      </c>
      <c r="C9" s="80"/>
      <c r="D9" s="81">
        <f>-'[1]P&amp;L Grouping'!G15</f>
        <v>-21379229.302695204</v>
      </c>
      <c r="E9" s="81">
        <v>-16042056.064202804</v>
      </c>
      <c r="F9" s="74">
        <f>D9/'[1]Basic data'!$D$15</f>
        <v>-260034.48564340427</v>
      </c>
      <c r="G9" s="74">
        <f t="shared" si="0"/>
        <v>-5713935.3924947837</v>
      </c>
      <c r="H9" s="81">
        <v>-5766524.0742004206</v>
      </c>
      <c r="I9" s="81">
        <v>-4988448.7040000008</v>
      </c>
      <c r="J9" s="81">
        <v>-4910321.1320000002</v>
      </c>
      <c r="K9" s="81">
        <v>-4075813.2522028033</v>
      </c>
      <c r="L9" s="81">
        <v>-3931272.3717149198</v>
      </c>
      <c r="M9" s="81">
        <v>-4134781.3119798377</v>
      </c>
      <c r="N9" s="81">
        <v>-3900189.1283052433</v>
      </c>
      <c r="O9" s="81">
        <v>-4015985.3912511221</v>
      </c>
      <c r="P9" s="74">
        <f>D9/100</f>
        <v>-213792.29302695204</v>
      </c>
      <c r="Q9" s="74">
        <v>-271129</v>
      </c>
      <c r="R9" s="74">
        <f>P9+P11-Q9</f>
        <v>0.36559526983182877</v>
      </c>
      <c r="S9" s="74">
        <f t="shared" ref="S9:S24" si="1">SUM(L9:N9)</f>
        <v>-11966242.812000001</v>
      </c>
      <c r="T9" s="74">
        <f t="shared" ref="T9:T24" si="2">S9/1000</f>
        <v>-11966.242812</v>
      </c>
      <c r="U9" s="75">
        <f>ROUND(I9/1000,0)</f>
        <v>-4988</v>
      </c>
      <c r="W9" s="64"/>
      <c r="X9" s="64"/>
      <c r="Y9" s="64"/>
      <c r="Z9" s="64"/>
      <c r="AB9" s="64"/>
      <c r="AD9" s="77"/>
      <c r="AE9" s="77"/>
    </row>
    <row r="10" spans="1:38" ht="18" customHeight="1" x14ac:dyDescent="0.25">
      <c r="A10" s="74"/>
      <c r="B10" s="79" t="s">
        <v>69</v>
      </c>
      <c r="C10" s="80"/>
      <c r="D10" s="133">
        <f>-'[1]P&amp;L Grouping'!G46-'[1]P&amp;L Grouping'!G44-'[1]P&amp;L Grouping'!G45</f>
        <v>131839.77495937498</v>
      </c>
      <c r="E10" s="133">
        <v>130727.71639183529</v>
      </c>
      <c r="F10" s="74">
        <f>D10/'[1]Basic data'!$D$15</f>
        <v>1603.5605205179834</v>
      </c>
      <c r="G10" s="74">
        <f t="shared" si="0"/>
        <v>30135.311050442062</v>
      </c>
      <c r="H10" s="81">
        <v>23520.421519770258</v>
      </c>
      <c r="I10" s="81">
        <v>29202.524724565767</v>
      </c>
      <c r="J10" s="81">
        <f>77605.6436645969-28624126/1000</f>
        <v>48981.51766459689</v>
      </c>
      <c r="K10" s="81">
        <v>51064.813206097446</v>
      </c>
      <c r="L10" s="81">
        <v>30214.357342688672</v>
      </c>
      <c r="M10" s="81">
        <v>32921.588663362068</v>
      </c>
      <c r="N10" s="81">
        <v>16526.957179687106</v>
      </c>
      <c r="O10" s="81">
        <v>63002.993579511225</v>
      </c>
      <c r="P10" s="132">
        <f>D10/100</f>
        <v>1318.3977495937497</v>
      </c>
      <c r="Q10" s="132">
        <v>3548</v>
      </c>
      <c r="R10" s="74">
        <f>P10+P15-Q10</f>
        <v>-0.55116870635447412</v>
      </c>
      <c r="S10" s="74">
        <f t="shared" si="1"/>
        <v>79662.903185737843</v>
      </c>
      <c r="T10" s="74">
        <f t="shared" si="2"/>
        <v>79.662903185737846</v>
      </c>
      <c r="U10" s="75">
        <f>ROUND(I10/1000,0)</f>
        <v>29</v>
      </c>
      <c r="W10" s="64"/>
      <c r="X10" s="64"/>
      <c r="Y10" s="64"/>
      <c r="Z10" s="76"/>
      <c r="AB10" s="64"/>
      <c r="AD10" s="77"/>
      <c r="AE10" s="77"/>
    </row>
    <row r="11" spans="1:38" ht="18" customHeight="1" x14ac:dyDescent="0.25">
      <c r="A11" s="74"/>
      <c r="B11" s="79" t="s">
        <v>70</v>
      </c>
      <c r="C11" s="80"/>
      <c r="D11" s="81">
        <f>-'[1]P&amp;L Grouping'!G38+'[1]P&amp;L Grouping'!G30+'[1]P&amp;L Grouping'!G35</f>
        <v>-5733634.1377778109</v>
      </c>
      <c r="E11" s="81">
        <v>-4943574.7235281793</v>
      </c>
      <c r="F11" s="74">
        <f>D11/'[1]Basic data'!$D$15</f>
        <v>-69737.902277728921</v>
      </c>
      <c r="G11" s="74">
        <f t="shared" si="0"/>
        <v>-1509789.2724776661</v>
      </c>
      <c r="H11" s="81">
        <v>-1509891.8726436186</v>
      </c>
      <c r="I11" s="81">
        <v>-1440632.1017168814</v>
      </c>
      <c r="J11" s="81">
        <v>-1273320.8909396448</v>
      </c>
      <c r="K11" s="81">
        <v>-1187692.3010771375</v>
      </c>
      <c r="L11" s="81">
        <v>-1276553.3615891805</v>
      </c>
      <c r="M11" s="81">
        <v>-1380408.4666150517</v>
      </c>
      <c r="N11" s="81">
        <v>-1098920.5942468096</v>
      </c>
      <c r="O11" s="81">
        <v>-1391421.102136784</v>
      </c>
      <c r="P11" s="74">
        <f>D11/100</f>
        <v>-57336.34137777811</v>
      </c>
      <c r="Q11" s="74"/>
      <c r="R11" s="74">
        <f>P11-Q11</f>
        <v>-57336.34137777811</v>
      </c>
      <c r="S11" s="74">
        <f t="shared" si="1"/>
        <v>-3755882.4224510416</v>
      </c>
      <c r="T11" s="74">
        <f t="shared" si="2"/>
        <v>-3755.8824224510417</v>
      </c>
      <c r="U11" s="75">
        <f>ROUND(I11/1000,0)</f>
        <v>-1441</v>
      </c>
      <c r="W11" s="64"/>
      <c r="X11" s="64"/>
      <c r="Y11" s="64"/>
      <c r="Z11" s="64"/>
      <c r="AB11" s="64"/>
      <c r="AD11" s="77"/>
      <c r="AE11" s="77"/>
    </row>
    <row r="12" spans="1:38" ht="18" customHeight="1" x14ac:dyDescent="0.25">
      <c r="A12" s="70">
        <f>D12/1000</f>
        <v>-3971.8653416389916</v>
      </c>
      <c r="B12" s="79" t="s">
        <v>71</v>
      </c>
      <c r="C12" s="80"/>
      <c r="D12" s="133">
        <f>-'[1]P&amp;L Grouping'!G30-'[1]P&amp;L Grouping'!G35-D13</f>
        <v>-3971865.3416389916</v>
      </c>
      <c r="E12" s="133">
        <v>-3283451.6759843007</v>
      </c>
      <c r="F12" s="74">
        <f>D12/'[1]Basic data'!$D$15</f>
        <v>-48309.597438470577</v>
      </c>
      <c r="G12" s="74">
        <f t="shared" si="0"/>
        <v>-1092331.4703338654</v>
      </c>
      <c r="H12" s="81">
        <v>-996279.03743243054</v>
      </c>
      <c r="I12" s="81">
        <v>-955902.68770849332</v>
      </c>
      <c r="J12" s="81">
        <v>-927352.14616420236</v>
      </c>
      <c r="K12" s="81">
        <v>-855220.759993035</v>
      </c>
      <c r="L12" s="81">
        <v>-835710.35402220336</v>
      </c>
      <c r="M12" s="81">
        <v>-790354.88139252656</v>
      </c>
      <c r="N12" s="81">
        <v>-802165.68057653576</v>
      </c>
      <c r="O12" s="81">
        <v>-800538.36385776103</v>
      </c>
      <c r="P12" s="132">
        <v>39719</v>
      </c>
      <c r="Q12" s="132">
        <v>-39719</v>
      </c>
      <c r="R12" s="132">
        <f>P12+Q12</f>
        <v>0</v>
      </c>
      <c r="S12" s="74">
        <f t="shared" si="1"/>
        <v>-2428230.9159912658</v>
      </c>
      <c r="T12" s="74">
        <f t="shared" si="2"/>
        <v>-2428.2309159912656</v>
      </c>
      <c r="U12" s="75">
        <f>ROUND(I12/1000,0)</f>
        <v>-956</v>
      </c>
      <c r="W12" s="64"/>
      <c r="X12" s="64"/>
      <c r="Y12" s="64"/>
      <c r="Z12" s="64"/>
      <c r="AB12" s="64"/>
      <c r="AD12" s="77"/>
      <c r="AE12" s="77"/>
    </row>
    <row r="13" spans="1:38" ht="18" customHeight="1" x14ac:dyDescent="0.25">
      <c r="A13" s="130"/>
      <c r="B13" s="79" t="s">
        <v>72</v>
      </c>
      <c r="C13" s="80"/>
      <c r="D13" s="133">
        <f>-'[1]IFRS JVs'!G72/1000</f>
        <v>0</v>
      </c>
      <c r="E13" s="81">
        <v>-14595</v>
      </c>
      <c r="F13" s="74">
        <f>D13/'[1]Basic data'!$D$15</f>
        <v>0</v>
      </c>
      <c r="G13" s="74">
        <f t="shared" si="0"/>
        <v>0</v>
      </c>
      <c r="H13" s="81">
        <v>0</v>
      </c>
      <c r="I13" s="81">
        <v>0</v>
      </c>
      <c r="J13" s="81">
        <v>0</v>
      </c>
      <c r="K13" s="81">
        <v>0</v>
      </c>
      <c r="L13" s="81">
        <v>-14595</v>
      </c>
      <c r="M13" s="81">
        <v>0</v>
      </c>
      <c r="N13" s="81">
        <v>0</v>
      </c>
      <c r="O13" s="81">
        <v>0</v>
      </c>
      <c r="P13" s="74">
        <f t="shared" ref="P13:P24" si="3">D13/100</f>
        <v>0</v>
      </c>
      <c r="Q13" s="74"/>
      <c r="R13" s="74"/>
      <c r="S13" s="74">
        <f t="shared" si="1"/>
        <v>-14595</v>
      </c>
      <c r="T13" s="74">
        <f t="shared" si="2"/>
        <v>-14.595000000000001</v>
      </c>
      <c r="U13" s="75"/>
      <c r="W13" s="64"/>
      <c r="X13" s="64"/>
      <c r="Y13" s="64"/>
      <c r="Z13" s="64"/>
      <c r="AB13" s="64"/>
      <c r="AD13" s="77"/>
      <c r="AE13" s="77"/>
    </row>
    <row r="14" spans="1:38" ht="18" customHeight="1" x14ac:dyDescent="0.3">
      <c r="A14" s="77">
        <f>ROUND(D14/1000,0)</f>
        <v>2451</v>
      </c>
      <c r="B14" s="83" t="s">
        <v>73</v>
      </c>
      <c r="C14" s="84"/>
      <c r="D14" s="134">
        <f>SUM(D8:D13)-0.44</f>
        <v>2450836.2185934125</v>
      </c>
      <c r="E14" s="134">
        <v>2872725.5321934307</v>
      </c>
      <c r="F14" s="85">
        <f>SUM(F8:F13)</f>
        <v>29809.40242934745</v>
      </c>
      <c r="G14" s="85">
        <f>SUM(G8:G13)</f>
        <v>546758.72431046446</v>
      </c>
      <c r="H14" s="85">
        <v>646362.54392364156</v>
      </c>
      <c r="I14" s="85">
        <f>SUM(I8:I13)</f>
        <v>582030.27043172601</v>
      </c>
      <c r="J14" s="85">
        <v>675685.11992757674</v>
      </c>
      <c r="K14" s="85">
        <v>737803.98829616059</v>
      </c>
      <c r="L14" s="85">
        <v>755321.36724193941</v>
      </c>
      <c r="M14" s="85">
        <f>SUM(M8:M12)</f>
        <v>713007.63966792088</v>
      </c>
      <c r="N14" s="85">
        <f>SUM(N8:N12)</f>
        <v>666592.53698740981</v>
      </c>
      <c r="O14" s="85">
        <f>SUM(O8:O12)</f>
        <v>715123.20715481532</v>
      </c>
      <c r="P14" s="74">
        <f t="shared" si="3"/>
        <v>24508.362185934126</v>
      </c>
      <c r="Q14" s="74"/>
      <c r="R14" s="74"/>
      <c r="S14" s="74">
        <f t="shared" si="1"/>
        <v>2134921.5438972702</v>
      </c>
      <c r="T14" s="74">
        <f t="shared" si="2"/>
        <v>2134.9215438972701</v>
      </c>
      <c r="U14" s="75"/>
      <c r="W14" s="86"/>
      <c r="X14" s="86"/>
      <c r="Y14" s="87"/>
      <c r="Z14" s="86"/>
      <c r="AB14" s="86"/>
      <c r="AD14" s="77"/>
      <c r="AE14" s="77"/>
    </row>
    <row r="15" spans="1:38" ht="18" customHeight="1" x14ac:dyDescent="0.25">
      <c r="A15" s="77"/>
      <c r="B15" s="79" t="s">
        <v>74</v>
      </c>
      <c r="C15" s="80"/>
      <c r="D15" s="88">
        <f>-'[1]P&amp;L Grouping'!G43</f>
        <v>222905.1081699896</v>
      </c>
      <c r="E15" s="88">
        <v>73576.610768940402</v>
      </c>
      <c r="F15" s="88">
        <f>D15/'[1]Basic data'!$D$15</f>
        <v>2711.1835665172198</v>
      </c>
      <c r="G15" s="74">
        <f>D15-I15-J15-H15</f>
        <v>135660.05026199415</v>
      </c>
      <c r="H15" s="81">
        <v>22094.553474075852</v>
      </c>
      <c r="I15" s="88">
        <v>1919.7531019132075</v>
      </c>
      <c r="J15" s="88">
        <v>63230.751332006395</v>
      </c>
      <c r="K15" s="88">
        <v>22177.102836773305</v>
      </c>
      <c r="L15" s="88">
        <v>16269.434236374931</v>
      </c>
      <c r="M15" s="88">
        <v>14484.549050170859</v>
      </c>
      <c r="N15" s="88">
        <v>20645.52464562131</v>
      </c>
      <c r="O15" s="88">
        <v>55590.794741754151</v>
      </c>
      <c r="P15" s="132">
        <f t="shared" si="3"/>
        <v>2229.0510816998958</v>
      </c>
      <c r="Q15" s="82"/>
      <c r="R15" s="74">
        <f>Q15-P15</f>
        <v>-2229.0510816998958</v>
      </c>
      <c r="S15" s="74">
        <f t="shared" si="1"/>
        <v>51399.5079321671</v>
      </c>
      <c r="T15" s="74">
        <f t="shared" si="2"/>
        <v>51.399507932167097</v>
      </c>
      <c r="U15" s="75">
        <f>ROUND(I15/1000,0)</f>
        <v>2</v>
      </c>
      <c r="W15" s="64"/>
      <c r="X15" s="64"/>
      <c r="Y15" s="89"/>
      <c r="Z15" s="64"/>
      <c r="AB15" s="64"/>
      <c r="AD15" s="77"/>
      <c r="AE15" s="77"/>
    </row>
    <row r="16" spans="1:38" ht="18" customHeight="1" x14ac:dyDescent="0.3">
      <c r="A16" s="135"/>
      <c r="B16" s="79" t="s">
        <v>75</v>
      </c>
      <c r="C16" s="80"/>
      <c r="D16" s="81">
        <f>-('[1]P&amp;L Grouping'!G41+'[1]P&amp;L Grouping'!G42)</f>
        <v>-1652522.3047690187</v>
      </c>
      <c r="E16" s="81">
        <v>-1098095.6749541475</v>
      </c>
      <c r="F16" s="81">
        <f>D16/'[1]Basic data'!$D$15</f>
        <v>-20099.545285324777</v>
      </c>
      <c r="G16" s="74">
        <f>D16-I16-J16-H16</f>
        <v>-503019.20089354966</v>
      </c>
      <c r="H16" s="81">
        <v>-441621.20801140467</v>
      </c>
      <c r="I16" s="81">
        <v>-363860.66543657222</v>
      </c>
      <c r="J16" s="81">
        <v>-344021.23042749212</v>
      </c>
      <c r="K16" s="81">
        <v>-289411.79886837059</v>
      </c>
      <c r="L16" s="81">
        <v>-294692.7023127366</v>
      </c>
      <c r="M16" s="81">
        <v>-266551.29601598304</v>
      </c>
      <c r="N16" s="81">
        <v>-247439.87775705743</v>
      </c>
      <c r="O16" s="81">
        <v>-250929.79789229756</v>
      </c>
      <c r="P16" s="132">
        <f t="shared" si="3"/>
        <v>-16525.223047690186</v>
      </c>
      <c r="Q16" s="132">
        <v>-16526</v>
      </c>
      <c r="R16" s="132">
        <f>Q16-P16</f>
        <v>-0.77695230981407803</v>
      </c>
      <c r="S16" s="74">
        <f t="shared" si="1"/>
        <v>-808683.87608577707</v>
      </c>
      <c r="T16" s="74">
        <f t="shared" si="2"/>
        <v>-808.68387608577711</v>
      </c>
      <c r="U16" s="75">
        <f>ROUND(I16/1000,0)</f>
        <v>-364</v>
      </c>
      <c r="V16" s="74">
        <f>SUM(U15:U16)</f>
        <v>-362</v>
      </c>
      <c r="W16" s="64"/>
      <c r="X16" s="64"/>
      <c r="Y16" s="90"/>
      <c r="Z16" s="64"/>
      <c r="AA16" s="64"/>
      <c r="AB16" s="64"/>
      <c r="AD16" s="77"/>
      <c r="AE16" s="77"/>
    </row>
    <row r="17" spans="1:38" ht="18" customHeight="1" x14ac:dyDescent="0.3">
      <c r="A17" s="135"/>
      <c r="B17" s="83" t="s">
        <v>13</v>
      </c>
      <c r="C17" s="84"/>
      <c r="D17" s="85">
        <f>D15+D16</f>
        <v>-1429617.196599029</v>
      </c>
      <c r="E17" s="85">
        <v>-1024519.0641852071</v>
      </c>
      <c r="F17" s="85">
        <f>F15+F16</f>
        <v>-17388.361718807559</v>
      </c>
      <c r="G17" s="85">
        <f>SUM(G15:G16)</f>
        <v>-367359.15063155547</v>
      </c>
      <c r="H17" s="85">
        <v>-419526.65453732881</v>
      </c>
      <c r="I17" s="85">
        <f>SUM(I15:I16)</f>
        <v>-361940.91233465902</v>
      </c>
      <c r="J17" s="85">
        <v>-280790.4790954857</v>
      </c>
      <c r="K17" s="85">
        <v>-267234.69603159709</v>
      </c>
      <c r="L17" s="85">
        <v>-278423.26807636168</v>
      </c>
      <c r="M17" s="85">
        <f>M15+M16</f>
        <v>-252066.74696581217</v>
      </c>
      <c r="N17" s="85">
        <f>N15+N16</f>
        <v>-226794.35311143612</v>
      </c>
      <c r="O17" s="85">
        <f>O15+O16</f>
        <v>-195339.0031505434</v>
      </c>
      <c r="P17" s="74">
        <f t="shared" si="3"/>
        <v>-14296.17196599029</v>
      </c>
      <c r="Q17" s="74"/>
      <c r="R17" s="74"/>
      <c r="S17" s="74">
        <f t="shared" si="1"/>
        <v>-757284.36815361003</v>
      </c>
      <c r="T17" s="74">
        <f t="shared" si="2"/>
        <v>-757.28436815360999</v>
      </c>
      <c r="U17" s="75"/>
      <c r="W17" s="86"/>
      <c r="X17" s="86"/>
      <c r="Y17" s="86"/>
      <c r="Z17" s="86"/>
      <c r="AB17" s="86"/>
      <c r="AD17" s="77"/>
      <c r="AE17" s="77"/>
    </row>
    <row r="18" spans="1:38" ht="18" hidden="1" customHeight="1" x14ac:dyDescent="0.25">
      <c r="B18" s="79" t="s">
        <v>76</v>
      </c>
      <c r="C18" s="80"/>
      <c r="D18" s="88">
        <v>0</v>
      </c>
      <c r="E18" s="88">
        <v>0</v>
      </c>
      <c r="F18" s="88">
        <f>D18/'[1]Basic data'!$D$15</f>
        <v>0</v>
      </c>
      <c r="G18" s="88"/>
      <c r="H18" s="88"/>
      <c r="I18" s="88"/>
      <c r="J18" s="88">
        <v>0</v>
      </c>
      <c r="K18" s="88"/>
      <c r="L18" s="88">
        <v>0</v>
      </c>
      <c r="M18" s="88">
        <v>0</v>
      </c>
      <c r="N18" s="88">
        <v>0</v>
      </c>
      <c r="O18" s="88"/>
      <c r="P18" s="74">
        <f t="shared" si="3"/>
        <v>0</v>
      </c>
      <c r="Q18" s="74"/>
      <c r="R18" s="74"/>
      <c r="S18" s="74">
        <f t="shared" si="1"/>
        <v>0</v>
      </c>
      <c r="T18" s="74">
        <f t="shared" si="2"/>
        <v>0</v>
      </c>
      <c r="U18" s="75"/>
      <c r="W18" s="64"/>
      <c r="X18" s="64"/>
      <c r="Y18" s="64"/>
      <c r="Z18" s="64"/>
      <c r="AB18" s="64"/>
    </row>
    <row r="19" spans="1:38" ht="18" hidden="1" customHeight="1" x14ac:dyDescent="0.25">
      <c r="B19" s="79" t="s">
        <v>77</v>
      </c>
      <c r="C19" s="80"/>
      <c r="D19" s="88">
        <v>0</v>
      </c>
      <c r="E19" s="88">
        <v>0</v>
      </c>
      <c r="F19" s="88">
        <f>D19/'[1]Basic data'!$D$15</f>
        <v>0</v>
      </c>
      <c r="G19" s="88"/>
      <c r="H19" s="88"/>
      <c r="I19" s="88"/>
      <c r="J19" s="88">
        <v>0</v>
      </c>
      <c r="K19" s="88"/>
      <c r="L19" s="88">
        <v>0</v>
      </c>
      <c r="M19" s="88">
        <v>0</v>
      </c>
      <c r="N19" s="88">
        <v>0</v>
      </c>
      <c r="O19" s="88"/>
      <c r="P19" s="74">
        <f t="shared" si="3"/>
        <v>0</v>
      </c>
      <c r="Q19" s="74"/>
      <c r="R19" s="74"/>
      <c r="S19" s="74">
        <f t="shared" si="1"/>
        <v>0</v>
      </c>
      <c r="T19" s="74">
        <f t="shared" si="2"/>
        <v>0</v>
      </c>
      <c r="U19" s="75"/>
      <c r="W19" s="64"/>
      <c r="X19" s="64"/>
      <c r="Y19" s="64"/>
      <c r="Z19" s="64"/>
      <c r="AB19" s="64"/>
    </row>
    <row r="20" spans="1:38" ht="18" customHeight="1" x14ac:dyDescent="0.3">
      <c r="B20" s="83" t="s">
        <v>78</v>
      </c>
      <c r="C20" s="80"/>
      <c r="D20" s="85">
        <f t="shared" ref="D20:O20" si="4">D14+D17</f>
        <v>1021219.0219943835</v>
      </c>
      <c r="E20" s="85">
        <v>1848206.4680082235</v>
      </c>
      <c r="F20" s="85">
        <f t="shared" si="4"/>
        <v>12421.040710539892</v>
      </c>
      <c r="G20" s="85">
        <f t="shared" si="4"/>
        <v>179399.57367890899</v>
      </c>
      <c r="H20" s="85">
        <v>226835.88938631275</v>
      </c>
      <c r="I20" s="85">
        <f t="shared" si="4"/>
        <v>220089.35809706699</v>
      </c>
      <c r="J20" s="85">
        <v>394894.64083209104</v>
      </c>
      <c r="K20" s="85">
        <v>470569.29226456338</v>
      </c>
      <c r="L20" s="85">
        <v>476898.09916557773</v>
      </c>
      <c r="M20" s="85">
        <f t="shared" si="4"/>
        <v>460940.89270210871</v>
      </c>
      <c r="N20" s="85">
        <f t="shared" si="4"/>
        <v>439798.18387597369</v>
      </c>
      <c r="O20" s="85">
        <f t="shared" si="4"/>
        <v>519784.20400427189</v>
      </c>
      <c r="P20" s="74">
        <f t="shared" si="3"/>
        <v>10212.190219943835</v>
      </c>
      <c r="Q20" s="74"/>
      <c r="R20" s="74"/>
      <c r="S20" s="74">
        <f t="shared" si="1"/>
        <v>1377637.17574366</v>
      </c>
      <c r="T20" s="74">
        <f t="shared" si="2"/>
        <v>1377.63717574366</v>
      </c>
      <c r="U20" s="75">
        <f>ROUND(I20/1000,0)</f>
        <v>220</v>
      </c>
      <c r="V20">
        <f>ROUND(M20/1000,0)</f>
        <v>461</v>
      </c>
      <c r="W20" s="86">
        <f>U20-V20</f>
        <v>-241</v>
      </c>
      <c r="X20" s="91">
        <f>W20/V20</f>
        <v>-0.52277657266811284</v>
      </c>
      <c r="Z20" s="86"/>
      <c r="AB20" s="86"/>
      <c r="AD20" s="77"/>
      <c r="AE20" s="77"/>
      <c r="AF20" s="74"/>
      <c r="AG20" s="92"/>
      <c r="AH20" s="77"/>
      <c r="AI20" s="76"/>
      <c r="AK20" s="64"/>
      <c r="AL20" s="64"/>
    </row>
    <row r="21" spans="1:38" ht="12.65" hidden="1" customHeight="1" x14ac:dyDescent="0.25">
      <c r="B21" s="79"/>
      <c r="C21" s="80"/>
      <c r="D21" s="81"/>
      <c r="E21" s="81"/>
      <c r="F21" s="81"/>
      <c r="G21" s="81"/>
      <c r="H21" s="81"/>
      <c r="I21" s="81"/>
      <c r="J21" s="81"/>
      <c r="K21" s="81"/>
      <c r="L21" s="81">
        <v>0</v>
      </c>
      <c r="M21" s="81">
        <v>0</v>
      </c>
      <c r="N21" s="81"/>
      <c r="O21" s="81"/>
      <c r="P21" s="74">
        <f t="shared" si="3"/>
        <v>0</v>
      </c>
      <c r="Q21" s="74"/>
      <c r="R21" s="74"/>
      <c r="S21" s="74">
        <f t="shared" si="1"/>
        <v>0</v>
      </c>
      <c r="T21" s="74">
        <f t="shared" si="2"/>
        <v>0</v>
      </c>
      <c r="U21" s="75">
        <f>ROUND(I21/1000,0)</f>
        <v>0</v>
      </c>
      <c r="W21" s="64"/>
      <c r="X21" s="64"/>
      <c r="Y21" s="64"/>
      <c r="Z21" s="64"/>
      <c r="AB21" s="64"/>
    </row>
    <row r="22" spans="1:38" ht="18" customHeight="1" x14ac:dyDescent="0.25">
      <c r="B22" s="79" t="s">
        <v>79</v>
      </c>
      <c r="C22" s="80"/>
      <c r="D22" s="81">
        <f>-'[1]P&amp;L Grouping'!G53</f>
        <v>-346585.36521680618</v>
      </c>
      <c r="E22" s="81">
        <v>-590260.67536158941</v>
      </c>
      <c r="F22" s="81">
        <f>D22/'[1]Basic data'!$D$15</f>
        <v>-4215.5002829929881</v>
      </c>
      <c r="G22" s="74">
        <f>D22-I22-J22-H22</f>
        <v>-145509.02621680615</v>
      </c>
      <c r="H22" s="81">
        <v>31221.266000000003</v>
      </c>
      <c r="I22" s="81">
        <v>-108373.80700000002</v>
      </c>
      <c r="J22" s="81">
        <v>-123923.798</v>
      </c>
      <c r="K22" s="81">
        <v>-241239.17896711431</v>
      </c>
      <c r="L22" s="81">
        <v>-133289.62307447515</v>
      </c>
      <c r="M22" s="81">
        <v>-104810.88231999999</v>
      </c>
      <c r="N22" s="81">
        <v>-110920.99099999999</v>
      </c>
      <c r="O22" s="81">
        <v>330679.48533440439</v>
      </c>
      <c r="P22" s="132">
        <f t="shared" si="3"/>
        <v>-3465.8536521680617</v>
      </c>
      <c r="Q22" s="132">
        <f>5743+-2147</f>
        <v>3596</v>
      </c>
      <c r="R22" s="74">
        <f>Q22+P22</f>
        <v>130.14634783193833</v>
      </c>
      <c r="S22" s="74">
        <f t="shared" si="1"/>
        <v>-349021.49639447511</v>
      </c>
      <c r="T22" s="74">
        <f t="shared" si="2"/>
        <v>-349.02149639447509</v>
      </c>
      <c r="U22" s="75">
        <f>ROUND(I22/1000,0)</f>
        <v>-108</v>
      </c>
      <c r="W22" s="64"/>
      <c r="X22" s="64"/>
      <c r="Y22" s="64"/>
      <c r="Z22" s="64"/>
      <c r="AB22" s="64"/>
      <c r="AD22" s="77"/>
      <c r="AE22" s="77"/>
    </row>
    <row r="23" spans="1:38" x14ac:dyDescent="0.25">
      <c r="B23" s="79"/>
      <c r="C23" s="80"/>
      <c r="D23" s="81"/>
      <c r="E23" s="81"/>
      <c r="F23" s="81"/>
      <c r="G23" s="81"/>
      <c r="H23" s="81"/>
      <c r="I23" s="81"/>
      <c r="J23" s="81"/>
      <c r="K23" s="81"/>
      <c r="L23" s="81">
        <v>0</v>
      </c>
      <c r="M23" s="81">
        <v>0</v>
      </c>
      <c r="N23" s="81"/>
      <c r="O23" s="81"/>
      <c r="P23" s="74">
        <f t="shared" si="3"/>
        <v>0</v>
      </c>
      <c r="Q23" s="74"/>
      <c r="R23" s="74"/>
      <c r="S23" s="74">
        <f t="shared" si="1"/>
        <v>0</v>
      </c>
      <c r="T23" s="74">
        <f t="shared" si="2"/>
        <v>0</v>
      </c>
      <c r="U23" s="75"/>
      <c r="W23" s="64"/>
      <c r="X23" s="64"/>
      <c r="Y23" s="64"/>
      <c r="Z23" s="64"/>
      <c r="AB23" s="64"/>
    </row>
    <row r="24" spans="1:38" ht="18" customHeight="1" x14ac:dyDescent="0.3">
      <c r="B24" s="93" t="s">
        <v>16</v>
      </c>
      <c r="C24" s="94"/>
      <c r="D24" s="95">
        <f t="shared" ref="D24:O24" si="5">D20+D22</f>
        <v>674633.65677757736</v>
      </c>
      <c r="E24" s="95">
        <v>1257945.7926466339</v>
      </c>
      <c r="F24" s="95">
        <f t="shared" si="5"/>
        <v>8205.5404275469045</v>
      </c>
      <c r="G24" s="95">
        <f t="shared" si="5"/>
        <v>33890.547462102841</v>
      </c>
      <c r="H24" s="95">
        <v>258057.15538631275</v>
      </c>
      <c r="I24" s="95">
        <f t="shared" si="5"/>
        <v>111715.55109706697</v>
      </c>
      <c r="J24" s="95">
        <f t="shared" si="5"/>
        <v>270970.84283209103</v>
      </c>
      <c r="K24" s="95">
        <v>229330.1132974489</v>
      </c>
      <c r="L24" s="95">
        <v>343608.47609110258</v>
      </c>
      <c r="M24" s="95">
        <f t="shared" si="5"/>
        <v>356130.01038210874</v>
      </c>
      <c r="N24" s="95">
        <f t="shared" si="5"/>
        <v>328877.19287597371</v>
      </c>
      <c r="O24" s="95">
        <f t="shared" si="5"/>
        <v>850463.68933867628</v>
      </c>
      <c r="P24" s="74">
        <f t="shared" si="3"/>
        <v>6746.3365677757738</v>
      </c>
      <c r="Q24" s="74"/>
      <c r="R24" s="74"/>
      <c r="S24" s="74">
        <f t="shared" si="1"/>
        <v>1028615.679349185</v>
      </c>
      <c r="T24" s="74">
        <f t="shared" si="2"/>
        <v>1028.615679349185</v>
      </c>
      <c r="U24" s="75">
        <f>ROUND(I24/1000,0)</f>
        <v>112</v>
      </c>
      <c r="V24">
        <f>ROUND(M24/1000,0)</f>
        <v>356</v>
      </c>
      <c r="W24" s="86">
        <f>U24-V24</f>
        <v>-244</v>
      </c>
      <c r="X24" s="91">
        <f>W24/V24</f>
        <v>-0.6853932584269663</v>
      </c>
      <c r="Y24" s="86"/>
      <c r="Z24" s="86"/>
      <c r="AB24" s="86"/>
      <c r="AD24" s="77"/>
      <c r="AE24" s="77"/>
      <c r="AF24" s="74"/>
      <c r="AG24" s="92"/>
      <c r="AH24" s="77"/>
      <c r="AI24" s="76"/>
      <c r="AK24" s="64"/>
      <c r="AL24" s="64"/>
    </row>
    <row r="25" spans="1:38" ht="18" hidden="1" customHeight="1" x14ac:dyDescent="0.25">
      <c r="B25" s="79"/>
      <c r="C25" s="80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81"/>
      <c r="P25" s="74"/>
      <c r="Q25" s="74"/>
      <c r="R25" s="74"/>
      <c r="S25" s="74"/>
      <c r="T25" s="74"/>
      <c r="W25" s="64"/>
      <c r="X25" s="64"/>
      <c r="Y25" s="64"/>
      <c r="Z25" s="64"/>
    </row>
    <row r="26" spans="1:38" ht="18" hidden="1" customHeight="1" x14ac:dyDescent="0.25">
      <c r="B26" s="79" t="s">
        <v>80</v>
      </c>
      <c r="C26" s="80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81"/>
      <c r="P26" s="74"/>
      <c r="Q26" s="74"/>
      <c r="R26" s="74"/>
      <c r="S26" s="74"/>
      <c r="T26" s="74"/>
      <c r="W26" s="64"/>
      <c r="X26" s="64"/>
      <c r="Y26" s="64"/>
      <c r="Z26" s="64"/>
    </row>
    <row r="27" spans="1:38" ht="18" hidden="1" customHeight="1" x14ac:dyDescent="0.3">
      <c r="B27" s="83" t="s">
        <v>81</v>
      </c>
      <c r="C27" s="84"/>
      <c r="D27" s="96">
        <f>D24-D28</f>
        <v>674633.65677757736</v>
      </c>
      <c r="E27" s="96">
        <v>1257945.7926466339</v>
      </c>
      <c r="F27" s="96">
        <f>F24-F28</f>
        <v>8205.5404275469045</v>
      </c>
      <c r="G27" s="96"/>
      <c r="H27" s="96"/>
      <c r="I27" s="96"/>
      <c r="J27" s="96"/>
      <c r="K27" s="96"/>
      <c r="L27" s="96"/>
      <c r="M27" s="96"/>
      <c r="N27" s="96"/>
      <c r="O27" s="85"/>
      <c r="P27" s="86"/>
      <c r="Q27" s="86"/>
      <c r="R27" s="86"/>
      <c r="S27" s="86"/>
      <c r="T27" s="86"/>
      <c r="W27" s="64"/>
      <c r="X27" s="64"/>
      <c r="Y27" s="64"/>
      <c r="Z27" s="64"/>
    </row>
    <row r="28" spans="1:38" ht="18" hidden="1" customHeight="1" x14ac:dyDescent="0.25">
      <c r="B28" s="79" t="s">
        <v>82</v>
      </c>
      <c r="C28" s="80"/>
      <c r="D28" s="96">
        <f>-'[1]P&amp;L Grouping'!G54</f>
        <v>0</v>
      </c>
      <c r="E28" s="96">
        <v>0</v>
      </c>
      <c r="F28" s="96">
        <f>D28/'[1]Basic data'!$D$15</f>
        <v>0</v>
      </c>
      <c r="G28" s="96"/>
      <c r="H28" s="96"/>
      <c r="I28" s="96"/>
      <c r="J28" s="96"/>
      <c r="K28" s="96"/>
      <c r="L28" s="96"/>
      <c r="M28" s="96"/>
      <c r="N28" s="96"/>
      <c r="O28" s="88"/>
      <c r="P28" s="64"/>
      <c r="Q28" s="64"/>
      <c r="R28" s="64"/>
      <c r="S28" s="64"/>
      <c r="T28" s="64"/>
      <c r="W28" s="64"/>
      <c r="X28" s="64"/>
      <c r="Y28" s="64"/>
      <c r="Z28" s="64"/>
    </row>
    <row r="29" spans="1:38" ht="18" hidden="1" customHeight="1" x14ac:dyDescent="0.3">
      <c r="B29" s="97"/>
      <c r="C29" s="98"/>
      <c r="D29" s="99">
        <f>SUM(D27:D28)</f>
        <v>674633.65677757736</v>
      </c>
      <c r="E29" s="99">
        <v>1257945.7926466339</v>
      </c>
      <c r="F29" s="99">
        <f>SUM(F27:F28)</f>
        <v>8205.5404275469045</v>
      </c>
      <c r="G29" s="99"/>
      <c r="H29" s="99"/>
      <c r="I29" s="99"/>
      <c r="J29" s="99"/>
      <c r="K29" s="99"/>
      <c r="L29" s="99"/>
      <c r="M29" s="99"/>
      <c r="N29" s="99"/>
      <c r="O29" s="95"/>
      <c r="P29" s="86"/>
      <c r="Q29" s="86"/>
      <c r="R29" s="86"/>
      <c r="S29" s="86"/>
      <c r="T29" s="86"/>
      <c r="W29" s="64"/>
      <c r="X29" s="64"/>
      <c r="Y29" s="64"/>
      <c r="Z29" s="64"/>
    </row>
    <row r="30" spans="1:38" ht="18" hidden="1" customHeight="1" x14ac:dyDescent="0.3">
      <c r="B30" s="83"/>
      <c r="C30" s="8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85"/>
      <c r="P30" s="86"/>
      <c r="Q30" s="86"/>
      <c r="R30" s="86"/>
      <c r="S30" s="86"/>
      <c r="T30" s="86"/>
      <c r="W30" s="64"/>
      <c r="X30" s="64"/>
      <c r="Y30" s="64"/>
      <c r="Z30" s="64"/>
    </row>
    <row r="31" spans="1:38" ht="18" hidden="1" customHeight="1" x14ac:dyDescent="0.25">
      <c r="B31" s="79" t="s">
        <v>83</v>
      </c>
      <c r="C31" s="80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100"/>
      <c r="P31" s="63"/>
      <c r="Q31" s="63"/>
      <c r="R31" s="63"/>
      <c r="S31" s="63"/>
      <c r="T31" s="63"/>
      <c r="W31" s="64"/>
      <c r="X31" s="64"/>
      <c r="Y31" s="64"/>
      <c r="Z31" s="64"/>
    </row>
    <row r="32" spans="1:38" ht="18" hidden="1" customHeight="1" x14ac:dyDescent="0.25">
      <c r="B32" s="97" t="s">
        <v>84</v>
      </c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1"/>
      <c r="P32" s="63"/>
      <c r="Q32" s="63"/>
      <c r="R32" s="63"/>
      <c r="S32" s="63"/>
      <c r="T32" s="63"/>
      <c r="W32" s="64"/>
      <c r="X32" s="64"/>
      <c r="Y32" s="64"/>
      <c r="Z32" s="64"/>
    </row>
    <row r="33" spans="2:38" x14ac:dyDescent="0.25">
      <c r="D33" s="59">
        <f>D30/D8</f>
        <v>0</v>
      </c>
      <c r="E33" s="59">
        <v>0</v>
      </c>
      <c r="W33" s="64"/>
      <c r="X33" s="64"/>
      <c r="Y33" s="64"/>
      <c r="Z33" s="64"/>
    </row>
    <row r="34" spans="2:38" x14ac:dyDescent="0.25">
      <c r="B34" t="s">
        <v>85</v>
      </c>
      <c r="U34" s="102"/>
      <c r="W34" s="64"/>
      <c r="X34" s="64"/>
      <c r="Y34" s="64"/>
      <c r="Z34" s="64"/>
    </row>
    <row r="35" spans="2:38" s="110" customFormat="1" ht="21" customHeight="1" x14ac:dyDescent="0.25">
      <c r="B35" s="103" t="s">
        <v>86</v>
      </c>
      <c r="C35" s="103"/>
      <c r="D35" s="136"/>
      <c r="E35" s="137">
        <v>-15256.3968713016</v>
      </c>
      <c r="F35" s="105"/>
      <c r="G35" s="105"/>
      <c r="H35" s="105"/>
      <c r="I35" s="105">
        <f>D35-J35</f>
        <v>0</v>
      </c>
      <c r="J35" s="105"/>
      <c r="K35" s="106"/>
      <c r="L35" s="106">
        <f>944115/1000</f>
        <v>944.11500000000001</v>
      </c>
      <c r="M35" s="106"/>
      <c r="N35" s="107">
        <v>-1916.6371242363421</v>
      </c>
      <c r="O35" s="108">
        <v>410.20045890695474</v>
      </c>
      <c r="P35" s="109"/>
      <c r="Q35" s="109"/>
      <c r="R35" s="109"/>
      <c r="S35" s="109"/>
      <c r="T35" s="109"/>
      <c r="W35" s="111"/>
      <c r="X35" s="111"/>
      <c r="Y35" s="111"/>
      <c r="Z35" s="111"/>
      <c r="AB35" s="111"/>
      <c r="AD35" s="112"/>
      <c r="AE35" s="112"/>
    </row>
    <row r="36" spans="2:38" s="110" customFormat="1" ht="21" customHeight="1" x14ac:dyDescent="0.25">
      <c r="B36" s="113" t="s">
        <v>87</v>
      </c>
      <c r="C36" s="113"/>
      <c r="D36" s="114">
        <f>D14-D12-D10-D35-D13</f>
        <v>6290861.7852730295</v>
      </c>
      <c r="E36" s="114">
        <f>E14-E12-E10-E35</f>
        <v>6040705.8886571974</v>
      </c>
      <c r="F36" s="114">
        <f>F14-F12-F10-F35</f>
        <v>76515.439347300038</v>
      </c>
      <c r="G36" s="114">
        <f>D36-I36-J36-H36</f>
        <v>1608954.4435938892</v>
      </c>
      <c r="H36" s="114">
        <f>H14-H12-H10-H35-H13</f>
        <v>1619121.1598363018</v>
      </c>
      <c r="I36" s="114">
        <v>1508730.4334156562</v>
      </c>
      <c r="J36" s="114">
        <f>J14-J12-J10-J35-J13</f>
        <v>1554055.7484271822</v>
      </c>
      <c r="K36" s="106">
        <f>E36-L36-M36-N36</f>
        <v>1541648.8098301634</v>
      </c>
      <c r="L36" s="104">
        <f>L14-L12-L10-L35-L13</f>
        <v>1574468.2489214542</v>
      </c>
      <c r="M36" s="104">
        <f>M14-M12-M10-M35</f>
        <v>1470440.9323970855</v>
      </c>
      <c r="N36" s="104">
        <f>N14-N12-N10-N35</f>
        <v>1454147.8975084948</v>
      </c>
      <c r="O36" s="115">
        <v>1452248.376974158</v>
      </c>
      <c r="P36" s="116"/>
      <c r="Q36" s="116"/>
      <c r="R36" s="116"/>
      <c r="S36" s="116"/>
      <c r="T36" s="116"/>
      <c r="U36" s="110">
        <f>ROUND(I36/1000,0)</f>
        <v>1509</v>
      </c>
      <c r="V36">
        <f>ROUND(M36/1000,0)</f>
        <v>1470</v>
      </c>
      <c r="W36" s="64">
        <f>U36-V36</f>
        <v>39</v>
      </c>
      <c r="X36" s="76"/>
      <c r="Y36" s="111"/>
      <c r="Z36" s="111"/>
      <c r="AB36" s="111"/>
      <c r="AD36" s="112"/>
      <c r="AE36" s="112"/>
      <c r="AF36" s="109"/>
      <c r="AG36" s="117"/>
      <c r="AH36" s="112"/>
      <c r="AI36" s="118"/>
      <c r="AK36" s="111"/>
      <c r="AL36" s="111"/>
    </row>
    <row r="37" spans="2:38" ht="19.5" customHeight="1" x14ac:dyDescent="0.85">
      <c r="B37" s="48"/>
      <c r="C37" s="48"/>
      <c r="D37" s="119"/>
      <c r="E37" s="119"/>
      <c r="F37" s="119"/>
      <c r="G37" s="119"/>
      <c r="H37" s="119"/>
      <c r="I37" s="119">
        <f>I36/1000</f>
        <v>1508.7304334156563</v>
      </c>
      <c r="J37" s="119"/>
      <c r="K37" s="119"/>
      <c r="L37" s="86"/>
      <c r="M37" s="86"/>
      <c r="N37" s="86"/>
      <c r="O37" s="120"/>
      <c r="P37" s="120"/>
      <c r="Q37" s="120"/>
      <c r="R37" s="120"/>
      <c r="S37" s="120"/>
      <c r="T37" s="120"/>
      <c r="U37" s="77">
        <f>I36/1000</f>
        <v>1508.7304334156563</v>
      </c>
      <c r="V37" s="77">
        <f>M36/1000</f>
        <v>1470.4409323970854</v>
      </c>
      <c r="W37" s="64">
        <f>U37-V37</f>
        <v>38.289501018570945</v>
      </c>
      <c r="X37" s="76"/>
      <c r="Y37" s="64"/>
      <c r="Z37" s="64"/>
      <c r="AB37" s="64"/>
      <c r="AD37" s="77"/>
      <c r="AE37" s="77"/>
      <c r="AF37" s="74"/>
      <c r="AG37" s="92"/>
      <c r="AH37" s="77"/>
      <c r="AI37" s="76"/>
      <c r="AK37" s="64"/>
      <c r="AL37" s="64"/>
    </row>
    <row r="38" spans="2:38" ht="19.5" customHeight="1" x14ac:dyDescent="0.85">
      <c r="B38" s="48"/>
      <c r="C38" s="48"/>
      <c r="D38" s="121"/>
      <c r="E38" s="119"/>
      <c r="F38" s="119"/>
      <c r="G38" s="119"/>
      <c r="H38" s="119"/>
      <c r="I38" s="119"/>
      <c r="J38" s="119"/>
      <c r="K38" s="119"/>
      <c r="L38" s="86"/>
      <c r="M38" s="86"/>
      <c r="N38" s="86"/>
      <c r="O38" s="120"/>
      <c r="P38" s="120"/>
      <c r="Q38" s="120"/>
      <c r="R38" s="120"/>
      <c r="S38" s="120"/>
      <c r="T38" s="120"/>
      <c r="W38" s="64"/>
      <c r="X38" s="64"/>
      <c r="Y38" s="64"/>
      <c r="Z38" s="64"/>
      <c r="AB38" s="64"/>
      <c r="AD38" s="77"/>
      <c r="AE38" s="77"/>
      <c r="AF38" s="74"/>
      <c r="AG38" s="92"/>
      <c r="AH38" s="77"/>
      <c r="AI38" s="76"/>
      <c r="AK38" s="64"/>
      <c r="AL38" s="64"/>
    </row>
    <row r="39" spans="2:38" ht="19.5" customHeight="1" x14ac:dyDescent="0.85">
      <c r="B39" s="48"/>
      <c r="C39" s="48"/>
      <c r="D39" s="119"/>
      <c r="E39" s="119"/>
      <c r="F39" s="119"/>
      <c r="G39" s="119">
        <f>G36/10^3</f>
        <v>1608.9544435938892</v>
      </c>
      <c r="H39" s="119"/>
      <c r="I39" s="119"/>
      <c r="J39" s="119"/>
      <c r="K39" s="119"/>
      <c r="L39" s="86"/>
      <c r="M39" s="86"/>
      <c r="N39" s="86"/>
      <c r="O39" s="120"/>
      <c r="P39" s="120"/>
      <c r="Q39" s="120"/>
      <c r="R39" s="120"/>
      <c r="S39" s="120"/>
      <c r="T39" s="120"/>
      <c r="W39" s="64"/>
      <c r="X39" s="64"/>
      <c r="Y39" s="64"/>
      <c r="Z39" s="64"/>
      <c r="AB39" s="64"/>
      <c r="AD39" s="77"/>
      <c r="AE39" s="77"/>
      <c r="AF39" s="74"/>
      <c r="AG39" s="92"/>
      <c r="AH39" s="77"/>
      <c r="AI39" s="76"/>
      <c r="AK39" s="64"/>
      <c r="AL39" s="64"/>
    </row>
    <row r="40" spans="2:38" ht="19.5" customHeight="1" x14ac:dyDescent="0.85">
      <c r="B40" s="48"/>
      <c r="C40" s="48"/>
      <c r="D40" s="122"/>
      <c r="E40" s="122"/>
      <c r="F40" s="119"/>
      <c r="G40" s="119"/>
      <c r="H40" s="119"/>
      <c r="I40" s="119"/>
      <c r="J40" s="119"/>
      <c r="K40" s="119"/>
      <c r="L40" s="86"/>
      <c r="M40" s="86"/>
      <c r="N40" s="86"/>
      <c r="O40" s="120"/>
      <c r="P40" s="120"/>
      <c r="Q40" s="120"/>
      <c r="R40" s="120"/>
      <c r="S40" s="120"/>
      <c r="T40" s="120"/>
      <c r="W40" s="64"/>
      <c r="X40" s="64"/>
      <c r="Y40" s="64"/>
      <c r="Z40" s="64"/>
      <c r="AB40" s="64"/>
      <c r="AD40" s="77"/>
      <c r="AE40" s="77"/>
      <c r="AF40" s="74"/>
      <c r="AG40" s="92"/>
      <c r="AH40" s="77"/>
      <c r="AI40" s="76"/>
      <c r="AK40" s="64"/>
      <c r="AL40" s="64"/>
    </row>
    <row r="41" spans="2:38" ht="19.5" customHeight="1" x14ac:dyDescent="0.85">
      <c r="B41" s="48"/>
      <c r="C41" s="48"/>
      <c r="D41" s="119"/>
      <c r="E41" s="119"/>
      <c r="F41" s="119"/>
      <c r="G41" s="119"/>
      <c r="H41" s="119"/>
      <c r="I41" s="119"/>
      <c r="J41" s="119"/>
      <c r="K41" s="119"/>
      <c r="L41" s="86"/>
      <c r="M41" s="86"/>
      <c r="N41" s="86"/>
      <c r="O41" s="120"/>
      <c r="P41" s="120"/>
      <c r="Q41" s="120"/>
      <c r="R41" s="120"/>
      <c r="S41" s="120"/>
      <c r="T41" s="120"/>
      <c r="W41" s="64"/>
      <c r="X41" s="64"/>
      <c r="Y41" s="64"/>
      <c r="Z41" s="64"/>
      <c r="AB41" s="64"/>
      <c r="AD41" s="77"/>
      <c r="AE41" s="77"/>
      <c r="AF41" s="74"/>
      <c r="AG41" s="92"/>
      <c r="AH41" s="77"/>
      <c r="AI41" s="76"/>
      <c r="AK41" s="64"/>
      <c r="AL41" s="64"/>
    </row>
    <row r="42" spans="2:38" ht="13" x14ac:dyDescent="0.3">
      <c r="B42" s="48"/>
      <c r="D42" s="123"/>
      <c r="E42" s="122"/>
      <c r="F42" s="92"/>
      <c r="G42" s="92"/>
      <c r="H42" s="92"/>
      <c r="I42" s="92"/>
      <c r="J42" s="92"/>
      <c r="K42" s="92"/>
      <c r="L42" s="92"/>
      <c r="M42" s="92"/>
      <c r="N42" s="92"/>
    </row>
    <row r="43" spans="2:38" x14ac:dyDescent="0.25"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124"/>
      <c r="P43" s="124"/>
      <c r="Q43" s="124"/>
      <c r="R43" s="124"/>
      <c r="S43" s="124"/>
      <c r="T43" s="124"/>
    </row>
    <row r="44" spans="2:38" x14ac:dyDescent="0.25"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</row>
    <row r="45" spans="2:38" x14ac:dyDescent="0.25"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</row>
    <row r="46" spans="2:38" x14ac:dyDescent="0.25"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</row>
    <row r="47" spans="2:38" x14ac:dyDescent="0.25"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</row>
    <row r="48" spans="2:38" x14ac:dyDescent="0.25">
      <c r="D48" s="123"/>
      <c r="E48" s="92"/>
      <c r="F48" s="92"/>
      <c r="G48" s="92"/>
      <c r="H48" s="92"/>
      <c r="I48" s="92"/>
      <c r="J48" s="92"/>
      <c r="K48" s="92"/>
      <c r="L48" s="92"/>
      <c r="M48" s="92"/>
      <c r="N48" s="92"/>
    </row>
    <row r="49" spans="4:14" x14ac:dyDescent="0.25"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</row>
    <row r="51" spans="4:14" x14ac:dyDescent="0.25">
      <c r="D51" s="59">
        <f>ROUND(D24/1000,0)</f>
        <v>675</v>
      </c>
    </row>
    <row r="52" spans="4:14" x14ac:dyDescent="0.25">
      <c r="E52" s="59">
        <f>D36/10000</f>
        <v>629.08617852730299</v>
      </c>
    </row>
  </sheetData>
  <mergeCells count="2">
    <mergeCell ref="D6:F6"/>
    <mergeCell ref="G6:O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581A4D9657604188AE3B85572FC508" ma:contentTypeVersion="18" ma:contentTypeDescription="Create a new document." ma:contentTypeScope="" ma:versionID="8b3f8e0ebf38b90759418723fc416f89">
  <xsd:schema xmlns:xsd="http://www.w3.org/2001/XMLSchema" xmlns:xs="http://www.w3.org/2001/XMLSchema" xmlns:p="http://schemas.microsoft.com/office/2006/metadata/properties" xmlns:ns2="eac78235-5e85-47f4-898c-a69c0f9ef218" xmlns:ns3="a36d7c13-a17c-4749-ba35-46b1cff98099" xmlns:ns4="19fbf001-7c56-4287-9c67-21e757b4767a" targetNamespace="http://schemas.microsoft.com/office/2006/metadata/properties" ma:root="true" ma:fieldsID="6458fea72db961c884b4cd279327aa06" ns2:_="" ns3:_="" ns4:_="">
    <xsd:import namespace="eac78235-5e85-47f4-898c-a69c0f9ef218"/>
    <xsd:import namespace="a36d7c13-a17c-4749-ba35-46b1cff98099"/>
    <xsd:import namespace="19fbf001-7c56-4287-9c67-21e757b476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78235-5e85-47f4-898c-a69c0f9e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225ff6-d8db-4da8-8d9c-1f925f8356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d7c13-a17c-4749-ba35-46b1cff98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bf001-7c56-4287-9c67-21e757b4767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61da821-e4eb-4376-882b-99ca595fd10d}" ma:internalName="TaxCatchAll" ma:showField="CatchAllData" ma:web="a36d7c13-a17c-4749-ba35-46b1cff980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fbf001-7c56-4287-9c67-21e757b4767a" xsi:nil="true"/>
    <lcf76f155ced4ddcb4097134ff3c332f xmlns="eac78235-5e85-47f4-898c-a69c0f9ef2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08C46A-10CC-4EDA-93FD-43BEBFA7A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78235-5e85-47f4-898c-a69c0f9ef218"/>
    <ds:schemaRef ds:uri="a36d7c13-a17c-4749-ba35-46b1cff98099"/>
    <ds:schemaRef ds:uri="19fbf001-7c56-4287-9c67-21e757b476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0FCC20-70C1-490D-B67B-6624E110DF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330A2-77F1-43CA-A42F-399FDCD0D70C}">
  <ds:schemaRefs>
    <ds:schemaRef ds:uri="http://schemas.microsoft.com/office/2006/metadata/properties"/>
    <ds:schemaRef ds:uri="http://schemas.microsoft.com/office/infopath/2007/PartnerControls"/>
    <ds:schemaRef ds:uri="19fbf001-7c56-4287-9c67-21e757b4767a"/>
    <ds:schemaRef ds:uri="eac78235-5e85-47f4-898c-a69c0f9ef2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 AS 116 Impact</vt:lpstr>
      <vt:lpstr>Press Release March 20 New</vt:lpstr>
      <vt:lpstr>Press Release March 24</vt:lpstr>
      <vt:lpstr>Sheet1</vt:lpstr>
      <vt:lpstr>Sheet3</vt:lpstr>
      <vt:lpstr>'Press Release March 20 New'!Print_Area</vt:lpstr>
      <vt:lpstr>'Press Release March 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Praveen Krishna</cp:lastModifiedBy>
  <cp:lastPrinted>2023-04-24T05:56:36Z</cp:lastPrinted>
  <dcterms:created xsi:type="dcterms:W3CDTF">2018-04-23T18:48:38Z</dcterms:created>
  <dcterms:modified xsi:type="dcterms:W3CDTF">2024-04-21T07:25:19Z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0x0101002D581A4D9657604188AE3B85572FC508</vt:lpwstr>
  </property>
  <property fmtid="{D5CDD505-2E9C-101B-9397-08002B2CF9AE}" pid="3" name="MediaServiceImageTags">
    <vt:lpwstr/>
  </property>
</Properties>
</file>