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https://sify-my.sharepoint.com/personal/praveen_krishna_sifycorp_com/Documents/CORPORATE COMMUNICATIONS/Press Release - Financials/Q3 FY 23-24/Drafts/"/>
    </mc:Choice>
  </mc:AlternateContent>
  <xr:revisionPtr revIDLastSave="339" documentId="8_{E5EDE68C-72DE-452E-B006-282DD7FADF82}" xr6:coauthVersionLast="47" xr6:coauthVersionMax="47" xr10:uidLastSave="{35D55452-70E4-44A3-BDBB-01AFB186111D}"/>
  <bookViews>
    <workbookView xWindow="-110" yWindow="-110" windowWidth="22780" windowHeight="14540" firstSheet="4" activeTab="4" xr2:uid="{00000000-000D-0000-FFFF-FFFF00000000}"/>
  </bookViews>
  <sheets>
    <sheet name="Ind AS 116 Impact" sheetId="5" state="hidden" r:id="rId1"/>
    <sheet name="Press Release March 20 New" sheetId="3" state="hidden" r:id="rId2"/>
    <sheet name="Majoduck_SK_1" sheetId="8" state="veryHidden" r:id="rId3"/>
    <sheet name="Sheet1" sheetId="7" state="hidden" r:id="rId4"/>
    <sheet name="Press Release Dec 23" sheetId="6" r:id="rId5"/>
    <sheet name="Details" sheetId="9" r:id="rId6"/>
  </sheets>
  <definedNames>
    <definedName name="BuiltIn_Print_Area">#REF!</definedName>
    <definedName name="_xlnm.Print_Area" localSheetId="4">'Press Release Dec 23'!$B$1:$E$38</definedName>
    <definedName name="_xlnm.Print_Area" localSheetId="1">'Press Release March 20 New'!$B$1:$F$36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2" i="6" l="1"/>
  <c r="X22" i="6"/>
  <c r="O11" i="6"/>
  <c r="P11" i="6"/>
  <c r="O12" i="6"/>
  <c r="P12" i="6" s="1"/>
  <c r="O13" i="6"/>
  <c r="P13" i="6"/>
  <c r="O15" i="6"/>
  <c r="P15" i="6"/>
  <c r="O16" i="6"/>
  <c r="P16" i="6" s="1"/>
  <c r="O17" i="6"/>
  <c r="P17" i="6"/>
  <c r="O18" i="6"/>
  <c r="P18" i="6"/>
  <c r="O19" i="6"/>
  <c r="P19" i="6" s="1"/>
  <c r="O20" i="6"/>
  <c r="P20" i="6" s="1"/>
  <c r="O22" i="6"/>
  <c r="P22" i="6"/>
  <c r="O23" i="6"/>
  <c r="P23" i="6" s="1"/>
  <c r="O25" i="6"/>
  <c r="P25" i="6"/>
  <c r="O26" i="6"/>
  <c r="P26" i="6" s="1"/>
  <c r="O27" i="6"/>
  <c r="P27" i="6"/>
  <c r="O29" i="6"/>
  <c r="P29" i="6" s="1"/>
  <c r="O32" i="6"/>
  <c r="P32" i="6" s="1"/>
  <c r="O34" i="6"/>
  <c r="P34" i="6" s="1"/>
  <c r="O36" i="6"/>
  <c r="P36" i="6" s="1"/>
  <c r="O10" i="6"/>
  <c r="P10" i="6" s="1"/>
  <c r="Q34" i="6"/>
  <c r="R34" i="6" s="1"/>
  <c r="Q29" i="6"/>
  <c r="R29" i="6" s="1"/>
  <c r="R27" i="6"/>
  <c r="R26" i="6"/>
  <c r="R25" i="6"/>
  <c r="Q23" i="6"/>
  <c r="R23" i="6" s="1"/>
  <c r="Q22" i="6"/>
  <c r="R22" i="6" s="1"/>
  <c r="R20" i="6"/>
  <c r="Q19" i="6"/>
  <c r="R19" i="6" s="1"/>
  <c r="Q18" i="6"/>
  <c r="R18" i="6" s="1"/>
  <c r="Q17" i="6"/>
  <c r="R17" i="6" s="1"/>
  <c r="Q16" i="6"/>
  <c r="R16" i="6" s="1"/>
  <c r="R15" i="6"/>
  <c r="R13" i="6"/>
  <c r="Q12" i="6"/>
  <c r="R12" i="6" s="1"/>
  <c r="Q11" i="6"/>
  <c r="R11" i="6" s="1"/>
  <c r="Q10" i="6"/>
  <c r="R10" i="6" s="1"/>
  <c r="N13" i="6"/>
  <c r="N15" i="6"/>
  <c r="N20" i="6"/>
  <c r="N25" i="6"/>
  <c r="N26" i="6"/>
  <c r="N27" i="6"/>
  <c r="M34" i="6"/>
  <c r="N34" i="6" s="1"/>
  <c r="M29" i="6"/>
  <c r="N29" i="6" s="1"/>
  <c r="M23" i="6"/>
  <c r="N23" i="6" s="1"/>
  <c r="M22" i="6"/>
  <c r="N22" i="6" s="1"/>
  <c r="M19" i="6"/>
  <c r="N19" i="6" s="1"/>
  <c r="M18" i="6"/>
  <c r="N18" i="6" s="1"/>
  <c r="M17" i="6"/>
  <c r="N17" i="6" s="1"/>
  <c r="M16" i="6"/>
  <c r="N16" i="6" s="1"/>
  <c r="M11" i="6"/>
  <c r="N11" i="6" s="1"/>
  <c r="M12" i="6"/>
  <c r="N12" i="6" s="1"/>
  <c r="M10" i="6"/>
  <c r="N10" i="6" s="1"/>
  <c r="D30" i="6"/>
  <c r="E30" i="6"/>
  <c r="Q30" i="6" s="1"/>
  <c r="R30" i="6" s="1"/>
  <c r="D31" i="6"/>
  <c r="O31" i="6" s="1"/>
  <c r="P31" i="6" s="1"/>
  <c r="E31" i="6"/>
  <c r="D32" i="6"/>
  <c r="E32" i="6"/>
  <c r="D33" i="6"/>
  <c r="O33" i="6" s="1"/>
  <c r="E33" i="6"/>
  <c r="Q33" i="6" s="1"/>
  <c r="R33" i="6" s="1"/>
  <c r="D35" i="6"/>
  <c r="O35" i="6" s="1"/>
  <c r="E35" i="6"/>
  <c r="Q35" i="6" s="1"/>
  <c r="D36" i="6"/>
  <c r="E36" i="6"/>
  <c r="E14" i="6"/>
  <c r="E21" i="6" s="1"/>
  <c r="C32" i="6"/>
  <c r="M32" i="6" s="1"/>
  <c r="N32" i="6" s="1"/>
  <c r="L19" i="6"/>
  <c r="L34" i="6"/>
  <c r="L23" i="6"/>
  <c r="L22" i="6"/>
  <c r="L18" i="6"/>
  <c r="L17" i="6"/>
  <c r="L16" i="6"/>
  <c r="L11" i="6"/>
  <c r="L12" i="6"/>
  <c r="L10" i="6"/>
  <c r="P35" i="6" l="1"/>
  <c r="O30" i="6"/>
  <c r="P30" i="6" s="1"/>
  <c r="P33" i="6"/>
  <c r="L14" i="6"/>
  <c r="E24" i="6"/>
  <c r="Q21" i="6"/>
  <c r="R21" i="6" s="1"/>
  <c r="Q14" i="6"/>
  <c r="R14" i="6" s="1"/>
  <c r="Q31" i="6"/>
  <c r="R31" i="6" s="1"/>
  <c r="R35" i="6"/>
  <c r="Q36" i="6"/>
  <c r="R36" i="6" s="1"/>
  <c r="Q32" i="6"/>
  <c r="R32" i="6" s="1"/>
  <c r="L21" i="6"/>
  <c r="L24" i="6" s="1"/>
  <c r="L28" i="6" s="1"/>
  <c r="E28" i="6" l="1"/>
  <c r="Q24" i="6"/>
  <c r="R24" i="6" s="1"/>
  <c r="L73" i="6"/>
  <c r="N73" i="6" s="1"/>
  <c r="B36" i="6"/>
  <c r="E43" i="6"/>
  <c r="I46" i="6"/>
  <c r="M46" i="6"/>
  <c r="K45" i="6"/>
  <c r="L45" i="6" s="1"/>
  <c r="K44" i="6"/>
  <c r="L44" i="6" s="1"/>
  <c r="K43" i="6"/>
  <c r="L43" i="6" s="1"/>
  <c r="N45" i="6"/>
  <c r="N44" i="6"/>
  <c r="N43" i="6"/>
  <c r="J45" i="6"/>
  <c r="J44" i="6"/>
  <c r="J43" i="6"/>
  <c r="J46" i="6" s="1"/>
  <c r="H22" i="6"/>
  <c r="I22" i="6" s="1"/>
  <c r="H23" i="6"/>
  <c r="I23" i="6" s="1"/>
  <c r="H14" i="6"/>
  <c r="H21" i="6" s="1"/>
  <c r="I17" i="6"/>
  <c r="I18" i="6"/>
  <c r="I16" i="6"/>
  <c r="I11" i="6"/>
  <c r="I12" i="6"/>
  <c r="I10" i="6"/>
  <c r="I14" i="6" l="1"/>
  <c r="I21" i="6" s="1"/>
  <c r="I24" i="6" s="1"/>
  <c r="L74" i="6"/>
  <c r="N74" i="6" s="1"/>
  <c r="E37" i="6"/>
  <c r="E40" i="6" s="1"/>
  <c r="Q28" i="6"/>
  <c r="R28" i="6" s="1"/>
  <c r="K46" i="6"/>
  <c r="L46" i="6"/>
  <c r="N46" i="6"/>
  <c r="H24" i="6"/>
  <c r="Q37" i="6" l="1"/>
  <c r="R37" i="6" s="1"/>
  <c r="D14" i="6"/>
  <c r="D12" i="7"/>
  <c r="C12" i="7"/>
  <c r="D11" i="7"/>
  <c r="C11" i="7"/>
  <c r="D10" i="7"/>
  <c r="C10" i="7"/>
  <c r="E12" i="7"/>
  <c r="E11" i="7"/>
  <c r="E10" i="7"/>
  <c r="D21" i="6" l="1"/>
  <c r="O14" i="6"/>
  <c r="P14" i="6" s="1"/>
  <c r="C33" i="6"/>
  <c r="C35" i="6"/>
  <c r="D24" i="6" l="1"/>
  <c r="O21" i="6"/>
  <c r="P21" i="6"/>
  <c r="L35" i="6"/>
  <c r="M35" i="6"/>
  <c r="N35" i="6" s="1"/>
  <c r="L33" i="6"/>
  <c r="M33" i="6"/>
  <c r="N33" i="6" s="1"/>
  <c r="F10" i="6"/>
  <c r="C36" i="6"/>
  <c r="C31" i="6"/>
  <c r="C30" i="6"/>
  <c r="L32" i="6"/>
  <c r="C14" i="6"/>
  <c r="D14" i="3"/>
  <c r="D21" i="3" s="1"/>
  <c r="D23" i="3" s="1"/>
  <c r="D27" i="3" s="1"/>
  <c r="D35" i="3" s="1"/>
  <c r="D29" i="3"/>
  <c r="D30" i="3"/>
  <c r="D31" i="3"/>
  <c r="D32" i="3"/>
  <c r="D34" i="3"/>
  <c r="F14" i="3"/>
  <c r="F21" i="3" s="1"/>
  <c r="F23" i="3" s="1"/>
  <c r="F27" i="3" s="1"/>
  <c r="F35" i="3" s="1"/>
  <c r="F29" i="3"/>
  <c r="F30" i="3"/>
  <c r="F31" i="3"/>
  <c r="F32" i="3"/>
  <c r="F34" i="3"/>
  <c r="C41" i="3"/>
  <c r="H9" i="5"/>
  <c r="D28" i="6" l="1"/>
  <c r="O24" i="6"/>
  <c r="P24" i="6" s="1"/>
  <c r="L30" i="6"/>
  <c r="M30" i="6"/>
  <c r="N30" i="6" s="1"/>
  <c r="M14" i="6"/>
  <c r="N14" i="6" s="1"/>
  <c r="L31" i="6"/>
  <c r="M31" i="6"/>
  <c r="N31" i="6" s="1"/>
  <c r="L36" i="6"/>
  <c r="M36" i="6"/>
  <c r="N36" i="6" s="1"/>
  <c r="F14" i="6"/>
  <c r="C21" i="6"/>
  <c r="D9" i="5"/>
  <c r="G9" i="5" s="1"/>
  <c r="D10" i="5"/>
  <c r="G10" i="5" s="1"/>
  <c r="E10" i="5"/>
  <c r="D37" i="6" l="1"/>
  <c r="O28" i="6"/>
  <c r="P28" i="6" s="1"/>
  <c r="L37" i="6"/>
  <c r="M21" i="6"/>
  <c r="N21" i="6" s="1"/>
  <c r="C24" i="6"/>
  <c r="F21" i="6"/>
  <c r="F9" i="5"/>
  <c r="H10" i="5"/>
  <c r="F10" i="5"/>
  <c r="D40" i="6" l="1"/>
  <c r="O37" i="6"/>
  <c r="P37" i="6" s="1"/>
  <c r="M24" i="6"/>
  <c r="N24" i="6" s="1"/>
  <c r="F24" i="6"/>
  <c r="C28" i="6"/>
  <c r="E12" i="3"/>
  <c r="C12" i="3"/>
  <c r="M28" i="6" l="1"/>
  <c r="N28" i="6" s="1"/>
  <c r="C37" i="6"/>
  <c r="C40" i="6" s="1"/>
  <c r="C18" i="3"/>
  <c r="F37" i="6" l="1"/>
  <c r="M37" i="6"/>
  <c r="N37" i="6" s="1"/>
  <c r="C19" i="3"/>
  <c r="E30" i="3" l="1"/>
  <c r="C30" i="3"/>
  <c r="E32" i="3"/>
  <c r="E34" i="3"/>
  <c r="C34" i="3"/>
  <c r="C32" i="3"/>
  <c r="E31" i="3"/>
  <c r="C31" i="3"/>
  <c r="E29" i="3"/>
  <c r="C29" i="3"/>
  <c r="E14" i="3" l="1"/>
  <c r="C14" i="3"/>
  <c r="C21" i="3" l="1"/>
  <c r="E21" i="3"/>
  <c r="C23" i="3" l="1"/>
  <c r="E23" i="3"/>
  <c r="C27" i="3" l="1"/>
  <c r="C35" i="3" s="1"/>
  <c r="E27" i="3"/>
  <c r="E35" i="3" s="1"/>
</calcChain>
</file>

<file path=xl/sharedStrings.xml><?xml version="1.0" encoding="utf-8"?>
<sst xmlns="http://schemas.openxmlformats.org/spreadsheetml/2006/main" count="110" uniqueCount="73">
  <si>
    <t xml:space="preserve">Sify Technologies Limited </t>
  </si>
  <si>
    <t>Unaudited Consolidated Income Statement as per IFRS</t>
  </si>
  <si>
    <t>(In INR millions)</t>
  </si>
  <si>
    <t xml:space="preserve">Quarter ended </t>
  </si>
  <si>
    <t xml:space="preserve">Year ended </t>
  </si>
  <si>
    <t>Description</t>
  </si>
  <si>
    <t>March</t>
  </si>
  <si>
    <t>(Audited)</t>
  </si>
  <si>
    <t>Revenue</t>
  </si>
  <si>
    <t>Cost of Revenues</t>
  </si>
  <si>
    <t>Selling, General and Administrative  Expenses</t>
  </si>
  <si>
    <t>EBITDA</t>
  </si>
  <si>
    <t>Depreciation and Amortisation expense</t>
  </si>
  <si>
    <t>Net Finance Expenses</t>
  </si>
  <si>
    <t>Profit before tax</t>
  </si>
  <si>
    <t>Income tax expense</t>
  </si>
  <si>
    <t>Profit for the period</t>
  </si>
  <si>
    <t xml:space="preserve">Profit attributable to: </t>
  </si>
  <si>
    <t>Reconciliation with Non-GAAP measure</t>
  </si>
  <si>
    <t>Add:</t>
  </si>
  <si>
    <t>Less:</t>
  </si>
  <si>
    <t>Other Income (including exchange gain)</t>
  </si>
  <si>
    <t>Other Expenses (including exchange loss)</t>
  </si>
  <si>
    <t xml:space="preserve"> Other Income (including exchange gain)</t>
  </si>
  <si>
    <t xml:space="preserve"> </t>
  </si>
  <si>
    <t>Impact</t>
  </si>
  <si>
    <t>EBITDA 18-19</t>
  </si>
  <si>
    <t>EBITDA Q4</t>
  </si>
  <si>
    <t>Cash Balance</t>
  </si>
  <si>
    <t>Capex Spent for the quarter</t>
  </si>
  <si>
    <t>Rs Million</t>
  </si>
  <si>
    <t xml:space="preserve">Ind AS 116 Implementation </t>
  </si>
  <si>
    <t>Before</t>
  </si>
  <si>
    <t>After</t>
  </si>
  <si>
    <t>% Before</t>
  </si>
  <si>
    <t>% After</t>
  </si>
  <si>
    <t>Rs Million (CY)</t>
  </si>
  <si>
    <t>Current Tax</t>
  </si>
  <si>
    <t>Deferred Tax</t>
  </si>
  <si>
    <t xml:space="preserve">Deferred Tax </t>
  </si>
  <si>
    <t>September</t>
  </si>
  <si>
    <t>Q2 (CY) vs Q2 (PY)</t>
  </si>
  <si>
    <t>Cash Balance as at 30 Sep 2022</t>
  </si>
  <si>
    <t>Capex Spent for the Quarter Q2 22-23</t>
  </si>
  <si>
    <t>PBT</t>
  </si>
  <si>
    <t>PAT</t>
  </si>
  <si>
    <t>Sep YTD</t>
  </si>
  <si>
    <t>Sep QTD</t>
  </si>
  <si>
    <t xml:space="preserve">FA </t>
  </si>
  <si>
    <t>IA</t>
  </si>
  <si>
    <t>ROU</t>
  </si>
  <si>
    <t>Q1</t>
  </si>
  <si>
    <t>Q2</t>
  </si>
  <si>
    <t>YTD-Sep23</t>
  </si>
  <si>
    <t>Other Income (including exchange gain/loss)</t>
  </si>
  <si>
    <t>December</t>
  </si>
  <si>
    <t>Capex</t>
  </si>
  <si>
    <t>Cash and Bank Balances</t>
  </si>
  <si>
    <t>(IN INR MILLION)</t>
  </si>
  <si>
    <t>31.12.2023</t>
  </si>
  <si>
    <t>31.03.2023</t>
  </si>
  <si>
    <t>EQUITY</t>
  </si>
  <si>
    <t>BORROWINGS</t>
  </si>
  <si>
    <t>Long term</t>
  </si>
  <si>
    <t>Short term</t>
  </si>
  <si>
    <t>  6,122</t>
  </si>
  <si>
    <t>Investment</t>
  </si>
  <si>
    <r>
      <t xml:space="preserve">During the quarter, Sify invested ­USD </t>
    </r>
    <r>
      <rPr>
        <b/>
        <sz val="10"/>
        <rFont val="Arial"/>
      </rPr>
      <t>0.15</t>
    </r>
    <r>
      <rPr>
        <sz val="10"/>
        <rFont val="Arial"/>
      </rPr>
      <t xml:space="preserve"> Million in start-ups in the Silicon Valley area as part of our Corporate Venture Capital initiative. To date, the cumulative investment stands at USD </t>
    </r>
    <r>
      <rPr>
        <b/>
        <sz val="10"/>
        <rFont val="Arial"/>
      </rPr>
      <t xml:space="preserve">7.22 </t>
    </r>
    <r>
      <rPr>
        <sz val="10"/>
        <rFont val="Arial"/>
      </rPr>
      <t>Million.</t>
    </r>
  </si>
  <si>
    <t>Non-IFRS Measures</t>
  </si>
  <si>
    <t>This press release contains a financial measure not prepared in accordance with IFRS. In particular, EBITDA is referred to as “non-IFRS” measure. The non-IFRS financial measure we use may be calculated differently from, and therefore may not be comparable to, similarly titled measures used by other companies - refer to the reconciliation provided in the table labelled Financial Highlights for more information. In addition, these non-IFRS measures should not be considered in isolation as a substitute for, or as superior to, financial measures calculated in accordance with IFRS, and our financial results calculated in accordance with IFRS and reconciliation to those financial statements should be carefully evaluated.</t>
  </si>
  <si>
    <t>Profit/(Loss) before tax</t>
  </si>
  <si>
    <t>Profit/ (Loss) for the period</t>
  </si>
  <si>
    <t xml:space="preserve">Profit/ (Loss) attributable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</si>
</sst>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 * #,##0_ ;_ * \-#,##0_ ;_ * &quot;-&quot;??_ ;_ @_ "/>
  </numFmts>
  <fonts count="13" x14ac:knownFonts="1">
    <font>
      <sz val="10"/>
      <name val="Arial"/>
    </font>
    <font>
      <sz val="10"/>
      <name val="Arial"/>
      <family val="2"/>
    </font>
    <font>
      <b/>
      <sz val="9"/>
      <name val="Trebuchet MS"/>
      <family val="2"/>
    </font>
    <font>
      <sz val="9"/>
      <name val="Trebuchet MS"/>
      <family val="2"/>
    </font>
    <font>
      <u/>
      <sz val="9"/>
      <name val="Trebuchet MS"/>
      <family val="2"/>
    </font>
    <font>
      <sz val="10"/>
      <name val="Arial"/>
      <family val="2"/>
    </font>
    <font>
      <sz val="10"/>
      <name val="Arial"/>
      <family val="2"/>
    </font>
    <font>
      <b/>
      <u/>
      <sz val="9"/>
      <name val="Trebuchet MS"/>
      <family val="2"/>
    </font>
    <font>
      <b/>
      <sz val="10"/>
      <name val="Arial"/>
      <family val="2"/>
    </font>
    <font>
      <sz val="10"/>
      <name val="Times New Roman"/>
      <family val="1"/>
    </font>
    <font>
      <b/>
      <sz val="9"/>
      <color theme="1"/>
      <name val="Times New Roman"/>
      <family val="1"/>
    </font>
    <font>
      <b/>
      <sz val="10"/>
      <name val="Arial"/>
    </font>
    <font>
      <b/>
      <u/>
      <sz val="10"/>
      <name val="Arial"/>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applyNumberFormat="0" applyFill="0" applyBorder="0" applyAlignment="0" applyProtection="0"/>
    <xf numFmtId="164" fontId="1" fillId="0" borderId="0" applyFont="0" applyFill="0" applyBorder="0" applyAlignment="0" applyProtection="0"/>
    <xf numFmtId="0" fontId="1" fillId="0" borderId="0"/>
    <xf numFmtId="0" fontId="5" fillId="0" borderId="0" applyNumberForma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cellStyleXfs>
  <cellXfs count="81">
    <xf numFmtId="0" fontId="0" fillId="0" borderId="0" xfId="0"/>
    <xf numFmtId="0" fontId="2" fillId="0" borderId="0" xfId="2" applyFont="1"/>
    <xf numFmtId="1" fontId="3" fillId="0" borderId="0" xfId="2" applyNumberFormat="1" applyFont="1"/>
    <xf numFmtId="0" fontId="3" fillId="0" borderId="0" xfId="0" applyFont="1"/>
    <xf numFmtId="0" fontId="3" fillId="0" borderId="0" xfId="2" applyFont="1"/>
    <xf numFmtId="0" fontId="2" fillId="0" borderId="1" xfId="2" applyFont="1" applyBorder="1" applyAlignment="1">
      <alignment vertical="center"/>
    </xf>
    <xf numFmtId="0" fontId="2" fillId="0" borderId="2" xfId="2" applyFont="1" applyBorder="1"/>
    <xf numFmtId="0" fontId="2" fillId="0" borderId="2" xfId="2"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vertical="center"/>
    </xf>
    <xf numFmtId="16" fontId="2" fillId="0" borderId="0" xfId="2" applyNumberFormat="1" applyFont="1" applyAlignment="1">
      <alignment horizontal="center"/>
    </xf>
    <xf numFmtId="16" fontId="2" fillId="0" borderId="5" xfId="2" applyNumberFormat="1" applyFont="1" applyBorder="1" applyAlignment="1">
      <alignment horizontal="center"/>
    </xf>
    <xf numFmtId="0" fontId="2" fillId="0" borderId="0" xfId="2" applyFont="1" applyAlignment="1">
      <alignment horizontal="center"/>
    </xf>
    <xf numFmtId="0" fontId="2" fillId="0" borderId="5" xfId="2" applyFont="1" applyBorder="1" applyAlignment="1">
      <alignment horizontal="center"/>
    </xf>
    <xf numFmtId="0" fontId="2" fillId="0" borderId="4" xfId="2" applyFont="1" applyBorder="1" applyAlignment="1">
      <alignment vertical="center"/>
    </xf>
    <xf numFmtId="0" fontId="2" fillId="0" borderId="6" xfId="2" applyFont="1" applyBorder="1" applyAlignment="1">
      <alignment horizontal="center"/>
    </xf>
    <xf numFmtId="0" fontId="2" fillId="0" borderId="7" xfId="2" applyFont="1" applyBorder="1" applyAlignment="1">
      <alignment horizontal="center"/>
    </xf>
    <xf numFmtId="0" fontId="3" fillId="0" borderId="4" xfId="2" applyFont="1" applyBorder="1"/>
    <xf numFmtId="0" fontId="3" fillId="0" borderId="0" xfId="0" applyFont="1" applyBorder="1"/>
    <xf numFmtId="0" fontId="3" fillId="0" borderId="5" xfId="2" applyFont="1" applyBorder="1"/>
    <xf numFmtId="165" fontId="3" fillId="0" borderId="0" xfId="1" applyNumberFormat="1" applyFont="1" applyFill="1" applyBorder="1"/>
    <xf numFmtId="165" fontId="3" fillId="0" borderId="5" xfId="1" applyNumberFormat="1" applyFont="1" applyFill="1" applyBorder="1"/>
    <xf numFmtId="165" fontId="3" fillId="0" borderId="0" xfId="2" applyNumberFormat="1" applyFont="1"/>
    <xf numFmtId="165" fontId="3" fillId="0" borderId="5" xfId="2" applyNumberFormat="1" applyFont="1" applyBorder="1"/>
    <xf numFmtId="0" fontId="2" fillId="0" borderId="4" xfId="2" applyFont="1" applyBorder="1"/>
    <xf numFmtId="165" fontId="2" fillId="0" borderId="8" xfId="1" applyNumberFormat="1" applyFont="1" applyFill="1" applyBorder="1"/>
    <xf numFmtId="165" fontId="2" fillId="0" borderId="9" xfId="1" applyNumberFormat="1" applyFont="1" applyFill="1" applyBorder="1"/>
    <xf numFmtId="165" fontId="3" fillId="0" borderId="10" xfId="1" applyNumberFormat="1" applyFont="1" applyFill="1" applyBorder="1"/>
    <xf numFmtId="165" fontId="3" fillId="0" borderId="11" xfId="1" applyNumberFormat="1" applyFont="1" applyFill="1" applyBorder="1"/>
    <xf numFmtId="165" fontId="2" fillId="0" borderId="12" xfId="1" applyNumberFormat="1" applyFont="1" applyFill="1" applyBorder="1"/>
    <xf numFmtId="165" fontId="2" fillId="0" borderId="13" xfId="1" applyNumberFormat="1" applyFont="1" applyFill="1" applyBorder="1"/>
    <xf numFmtId="165" fontId="2" fillId="0" borderId="0" xfId="1" applyNumberFormat="1" applyFont="1" applyFill="1" applyBorder="1"/>
    <xf numFmtId="164" fontId="2" fillId="0" borderId="4" xfId="2" applyNumberFormat="1" applyFont="1" applyBorder="1"/>
    <xf numFmtId="0" fontId="4" fillId="0" borderId="4" xfId="2" applyFont="1" applyBorder="1"/>
    <xf numFmtId="165" fontId="2" fillId="0" borderId="5" xfId="1" applyNumberFormat="1" applyFont="1" applyFill="1" applyBorder="1"/>
    <xf numFmtId="0" fontId="3" fillId="0" borderId="4" xfId="2" applyFont="1" applyBorder="1" applyAlignment="1">
      <alignment horizontal="left" vertical="top" wrapText="1"/>
    </xf>
    <xf numFmtId="0" fontId="3" fillId="0" borderId="0" xfId="2" applyFont="1" applyAlignment="1">
      <alignment horizontal="left" vertical="top" wrapText="1"/>
    </xf>
    <xf numFmtId="0" fontId="3" fillId="0" borderId="14" xfId="2" applyFont="1" applyBorder="1"/>
    <xf numFmtId="0" fontId="3" fillId="0" borderId="6" xfId="2" applyFont="1" applyBorder="1"/>
    <xf numFmtId="0" fontId="3" fillId="0" borderId="6" xfId="0" applyFont="1" applyBorder="1"/>
    <xf numFmtId="0" fontId="3" fillId="0" borderId="7" xfId="2" applyFont="1" applyBorder="1"/>
    <xf numFmtId="0" fontId="7" fillId="0" borderId="0" xfId="2" applyFont="1"/>
    <xf numFmtId="0" fontId="3" fillId="0" borderId="15" xfId="2" applyFont="1" applyBorder="1"/>
    <xf numFmtId="9" fontId="2" fillId="0" borderId="0" xfId="9" applyFont="1" applyFill="1" applyBorder="1"/>
    <xf numFmtId="9" fontId="3" fillId="0" borderId="15" xfId="9" applyFont="1" applyFill="1" applyBorder="1"/>
    <xf numFmtId="0" fontId="2" fillId="0" borderId="15" xfId="2" applyFont="1" applyBorder="1" applyAlignment="1">
      <alignment horizontal="center"/>
    </xf>
    <xf numFmtId="165" fontId="3" fillId="0" borderId="15" xfId="1" applyNumberFormat="1" applyFont="1" applyFill="1" applyBorder="1"/>
    <xf numFmtId="165" fontId="3" fillId="0" borderId="0" xfId="1" applyNumberFormat="1" applyFont="1" applyFill="1"/>
    <xf numFmtId="165" fontId="3" fillId="0" borderId="7" xfId="1" applyNumberFormat="1" applyFont="1" applyFill="1" applyBorder="1"/>
    <xf numFmtId="0" fontId="1" fillId="0" borderId="0" xfId="0" applyFont="1"/>
    <xf numFmtId="9" fontId="0" fillId="0" borderId="0" xfId="9" applyFont="1"/>
    <xf numFmtId="17" fontId="8" fillId="0" borderId="0" xfId="0" applyNumberFormat="1" applyFont="1"/>
    <xf numFmtId="0" fontId="9" fillId="0" borderId="0" xfId="0" applyFont="1" applyFill="1" applyAlignment="1">
      <alignment vertical="center" wrapText="1"/>
    </xf>
    <xf numFmtId="166" fontId="10" fillId="0" borderId="0" xfId="1" applyNumberFormat="1" applyFont="1" applyFill="1" applyAlignment="1">
      <alignment horizontal="right"/>
    </xf>
    <xf numFmtId="0" fontId="2" fillId="0" borderId="3" xfId="2" applyFont="1" applyBorder="1"/>
    <xf numFmtId="0" fontId="3" fillId="0" borderId="3" xfId="2" applyFont="1" applyBorder="1"/>
    <xf numFmtId="0" fontId="3" fillId="0" borderId="4" xfId="2" applyFont="1" applyBorder="1" applyAlignment="1">
      <alignment horizontal="left" indent="1"/>
    </xf>
    <xf numFmtId="0" fontId="2" fillId="0" borderId="15" xfId="2" applyFont="1" applyBorder="1"/>
    <xf numFmtId="3" fontId="3" fillId="0" borderId="0" xfId="2" applyNumberFormat="1" applyFont="1"/>
    <xf numFmtId="0" fontId="3" fillId="0" borderId="0" xfId="2" applyFont="1" applyAlignment="1">
      <alignment horizontal="center"/>
    </xf>
    <xf numFmtId="165" fontId="0" fillId="0" borderId="0" xfId="1" applyNumberFormat="1" applyFont="1"/>
    <xf numFmtId="0" fontId="11" fillId="0" borderId="15" xfId="0" applyFont="1" applyBorder="1" applyAlignment="1">
      <alignment horizontal="left" vertical="center"/>
    </xf>
    <xf numFmtId="0" fontId="11" fillId="0" borderId="15" xfId="0" applyFont="1" applyBorder="1" applyAlignment="1">
      <alignment vertical="center"/>
    </xf>
    <xf numFmtId="3" fontId="0" fillId="0" borderId="15" xfId="0" applyNumberFormat="1" applyBorder="1" applyAlignment="1">
      <alignment horizontal="left" vertical="center"/>
    </xf>
    <xf numFmtId="0" fontId="12" fillId="0" borderId="15" xfId="0" applyFont="1" applyBorder="1" applyAlignment="1">
      <alignment vertical="center"/>
    </xf>
    <xf numFmtId="0" fontId="0" fillId="0" borderId="15" xfId="0" applyBorder="1" applyAlignment="1">
      <alignment horizontal="left" vertical="center"/>
    </xf>
    <xf numFmtId="0" fontId="8" fillId="0" borderId="0" xfId="0" applyFont="1"/>
    <xf numFmtId="0" fontId="3" fillId="0" borderId="15" xfId="2" applyFont="1" applyBorder="1" applyAlignment="1">
      <alignment horizontal="center"/>
    </xf>
    <xf numFmtId="0" fontId="0" fillId="0" borderId="16"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164" fontId="2" fillId="0" borderId="4" xfId="2" applyNumberFormat="1" applyFont="1" applyBorder="1" applyAlignment="1">
      <alignment horizontal="left"/>
    </xf>
  </cellXfs>
  <cellStyles count="10">
    <cellStyle name="_Deposits summary" xfId="3" xr:uid="{00000000-0005-0000-0000-000000000000}"/>
    <cellStyle name="_summary" xfId="4" xr:uid="{00000000-0005-0000-0000-000001000000}"/>
    <cellStyle name="Comma" xfId="1" builtinId="3"/>
    <cellStyle name="Comma 2" xfId="5" xr:uid="{00000000-0005-0000-0000-000003000000}"/>
    <cellStyle name="Comma 3" xfId="6" xr:uid="{00000000-0005-0000-0000-000004000000}"/>
    <cellStyle name="Normal" xfId="0" builtinId="0"/>
    <cellStyle name="Normal_MIS Q4 06-07modified" xfId="2" xr:uid="{00000000-0005-0000-0000-000006000000}"/>
    <cellStyle name="Percent" xfId="9" builtinId="5"/>
    <cellStyle name="Percent 2" xfId="7" xr:uid="{00000000-0005-0000-0000-000008000000}"/>
    <cellStyle name="Percent 3"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2014@" TargetMode="External"/><Relationship Id="rId2" Type="http://schemas.openxmlformats.org/officeDocument/2006/relationships/hyperlink" Target="mailto:2014@" TargetMode="External"/><Relationship Id="rId1" Type="http://schemas.openxmlformats.org/officeDocument/2006/relationships/hyperlink" Target="mailto:2014@" TargetMode="External"/><Relationship Id="rId5" Type="http://schemas.openxmlformats.org/officeDocument/2006/relationships/printerSettings" Target="../printerSettings/printerSettings1.bin"/><Relationship Id="rId4" Type="http://schemas.openxmlformats.org/officeDocument/2006/relationships/hyperlink" Target="mailto:2014@"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2014@" TargetMode="External"/><Relationship Id="rId2" Type="http://schemas.openxmlformats.org/officeDocument/2006/relationships/hyperlink" Target="mailto:2014@" TargetMode="External"/><Relationship Id="rId1" Type="http://schemas.openxmlformats.org/officeDocument/2006/relationships/hyperlink" Target="mailto:2014@" TargetMode="External"/><Relationship Id="rId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D10-6185-4E92-8230-786573DCB815}">
  <sheetPr codeName="Sheet1"/>
  <dimension ref="B6:J11"/>
  <sheetViews>
    <sheetView workbookViewId="0">
      <selection activeCell="E9" sqref="E9"/>
    </sheetView>
  </sheetViews>
  <sheetFormatPr defaultRowHeight="12.5" x14ac:dyDescent="0.25"/>
  <cols>
    <col min="3" max="3" width="10.81640625" bestFit="1" customWidth="1"/>
  </cols>
  <sheetData>
    <row r="6" spans="2:10" ht="13" x14ac:dyDescent="0.3">
      <c r="B6" s="4"/>
      <c r="C6" s="20"/>
      <c r="D6" s="20"/>
      <c r="E6" s="4"/>
      <c r="F6" s="4"/>
      <c r="G6" s="4"/>
      <c r="H6" s="4"/>
      <c r="I6" s="4"/>
      <c r="J6" s="4"/>
    </row>
    <row r="7" spans="2:10" ht="13" x14ac:dyDescent="0.3">
      <c r="B7" s="4"/>
      <c r="C7" s="41" t="s">
        <v>31</v>
      </c>
      <c r="D7" s="4"/>
      <c r="E7" s="4"/>
      <c r="F7" s="4"/>
      <c r="G7" s="4"/>
      <c r="H7" s="4"/>
      <c r="I7" s="4"/>
      <c r="J7" s="4"/>
    </row>
    <row r="8" spans="2:10" ht="13" x14ac:dyDescent="0.3">
      <c r="B8" s="4"/>
      <c r="C8" s="4"/>
      <c r="D8" s="45" t="s">
        <v>32</v>
      </c>
      <c r="E8" s="45" t="s">
        <v>33</v>
      </c>
      <c r="F8" s="45" t="s">
        <v>25</v>
      </c>
      <c r="G8" s="45" t="s">
        <v>34</v>
      </c>
      <c r="H8" s="45" t="s">
        <v>35</v>
      </c>
      <c r="I8" s="4"/>
      <c r="J8" s="4"/>
    </row>
    <row r="9" spans="2:10" ht="13" x14ac:dyDescent="0.3">
      <c r="B9" s="4"/>
      <c r="C9" s="42" t="s">
        <v>26</v>
      </c>
      <c r="D9" s="46">
        <f>'Press Release March 20 New'!F14</f>
        <v>3122</v>
      </c>
      <c r="E9" s="46">
        <v>3498</v>
      </c>
      <c r="F9" s="46">
        <f>E9-D9</f>
        <v>376</v>
      </c>
      <c r="G9" s="44">
        <f>'Press Release March 20 New'!E14/D9-1</f>
        <v>0.30571837981580385</v>
      </c>
      <c r="H9" s="44">
        <f>'Press Release March 20 New'!E14/E9-1</f>
        <v>0.16536671863491681</v>
      </c>
      <c r="I9" s="4"/>
      <c r="J9" s="4"/>
    </row>
    <row r="10" spans="2:10" ht="13" x14ac:dyDescent="0.3">
      <c r="B10" s="4"/>
      <c r="C10" s="42" t="s">
        <v>27</v>
      </c>
      <c r="D10" s="46">
        <f>'Press Release March 20 New'!D14</f>
        <v>822</v>
      </c>
      <c r="E10" s="46">
        <f>D10+99</f>
        <v>921</v>
      </c>
      <c r="F10" s="46">
        <f>E10-D10</f>
        <v>99</v>
      </c>
      <c r="G10" s="44">
        <f>'Press Release March 20 New'!C14/D10-1</f>
        <v>0.26297115144353334</v>
      </c>
      <c r="H10" s="44">
        <f>'Press Release March 20 New'!C14/E10-1</f>
        <v>0.12721203744471699</v>
      </c>
      <c r="I10" s="4"/>
      <c r="J10" s="4"/>
    </row>
    <row r="11" spans="2:10" ht="13" x14ac:dyDescent="0.3">
      <c r="B11" s="4"/>
      <c r="C11" s="20"/>
      <c r="D11" s="22"/>
      <c r="E11" s="4"/>
      <c r="F11" s="4"/>
      <c r="G11" s="4"/>
      <c r="H11" s="4"/>
      <c r="I11" s="4"/>
      <c r="J11"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A5D08-2307-45B3-AE14-1147D92F6168}">
  <sheetPr codeName="Sheet2">
    <pageSetUpPr fitToPage="1"/>
  </sheetPr>
  <dimension ref="B1:K42"/>
  <sheetViews>
    <sheetView showGridLines="0" showZeros="0" zoomScaleNormal="100" workbookViewId="0">
      <pane xSplit="2" ySplit="8" topLeftCell="C10" activePane="bottomRight" state="frozen"/>
      <selection pane="topRight" activeCell="C1" sqref="C1"/>
      <selection pane="bottomLeft" activeCell="A9" sqref="A9"/>
      <selection pane="bottomRight" activeCell="C10" sqref="C10"/>
    </sheetView>
  </sheetViews>
  <sheetFormatPr defaultColWidth="9.1796875" defaultRowHeight="12" x14ac:dyDescent="0.3"/>
  <cols>
    <col min="1" max="1" width="2.54296875" style="4" customWidth="1"/>
    <col min="2" max="2" width="37.453125" style="4" customWidth="1"/>
    <col min="3" max="3" width="13.54296875" style="4" bestFit="1" customWidth="1"/>
    <col min="4" max="4" width="13.453125" style="3" customWidth="1"/>
    <col min="5" max="5" width="14" style="4" customWidth="1"/>
    <col min="6" max="8" width="14.81640625" style="4" customWidth="1"/>
    <col min="9" max="9" width="9.1796875" style="4"/>
    <col min="10" max="10" width="13.453125" style="4" customWidth="1"/>
    <col min="11" max="15" width="9.54296875" style="4" customWidth="1"/>
    <col min="16" max="16" width="18.453125" style="4" bestFit="1" customWidth="1"/>
    <col min="17" max="17" width="6.1796875" style="4" bestFit="1" customWidth="1"/>
    <col min="18" max="16384" width="9.1796875" style="4"/>
  </cols>
  <sheetData>
    <row r="1" spans="2:11" x14ac:dyDescent="0.3">
      <c r="B1" s="1" t="s">
        <v>0</v>
      </c>
      <c r="C1" s="2"/>
    </row>
    <row r="3" spans="2:11" x14ac:dyDescent="0.3">
      <c r="B3" s="1" t="s">
        <v>1</v>
      </c>
    </row>
    <row r="4" spans="2:11" x14ac:dyDescent="0.3">
      <c r="B4" s="1" t="s">
        <v>2</v>
      </c>
    </row>
    <row r="5" spans="2:11" x14ac:dyDescent="0.3">
      <c r="B5" s="5"/>
      <c r="C5" s="6" t="s">
        <v>3</v>
      </c>
      <c r="D5" s="6" t="s">
        <v>3</v>
      </c>
      <c r="E5" s="7" t="s">
        <v>4</v>
      </c>
      <c r="F5" s="8" t="s">
        <v>4</v>
      </c>
      <c r="G5" s="12"/>
      <c r="H5" s="12"/>
      <c r="J5" s="1"/>
      <c r="K5" s="12"/>
    </row>
    <row r="6" spans="2:11" x14ac:dyDescent="0.3">
      <c r="B6" s="9" t="s">
        <v>5</v>
      </c>
      <c r="C6" s="10" t="s">
        <v>6</v>
      </c>
      <c r="D6" s="10" t="s">
        <v>6</v>
      </c>
      <c r="E6" s="10" t="s">
        <v>6</v>
      </c>
      <c r="F6" s="11" t="s">
        <v>6</v>
      </c>
      <c r="G6" s="10"/>
      <c r="H6" s="10"/>
      <c r="J6" s="10"/>
      <c r="K6" s="10"/>
    </row>
    <row r="7" spans="2:11" x14ac:dyDescent="0.3">
      <c r="B7" s="9"/>
      <c r="C7" s="12">
        <v>2020</v>
      </c>
      <c r="D7" s="12">
        <v>2019</v>
      </c>
      <c r="E7" s="12">
        <v>2020</v>
      </c>
      <c r="F7" s="13">
        <v>2019</v>
      </c>
      <c r="G7" s="12"/>
      <c r="H7" s="12"/>
      <c r="J7" s="12"/>
      <c r="K7" s="12"/>
    </row>
    <row r="8" spans="2:11" x14ac:dyDescent="0.3">
      <c r="B8" s="14"/>
      <c r="C8" s="15"/>
      <c r="D8" s="15"/>
      <c r="E8" s="15"/>
      <c r="F8" s="16" t="s">
        <v>7</v>
      </c>
      <c r="G8" s="12"/>
      <c r="H8" s="12"/>
      <c r="J8" s="12"/>
      <c r="K8" s="12"/>
    </row>
    <row r="9" spans="2:11" x14ac:dyDescent="0.3">
      <c r="B9" s="17"/>
      <c r="D9" s="18"/>
      <c r="F9" s="19"/>
    </row>
    <row r="10" spans="2:11" x14ac:dyDescent="0.3">
      <c r="B10" s="17" t="s">
        <v>8</v>
      </c>
      <c r="C10" s="20">
        <v>5736.0832383788684</v>
      </c>
      <c r="D10" s="20">
        <v>5623</v>
      </c>
      <c r="E10" s="20">
        <v>22952.066609637139</v>
      </c>
      <c r="F10" s="21">
        <v>21547</v>
      </c>
      <c r="G10" s="43"/>
      <c r="H10" s="43"/>
    </row>
    <row r="11" spans="2:11" ht="16.5" customHeight="1" x14ac:dyDescent="0.3">
      <c r="B11" s="17" t="s">
        <v>9</v>
      </c>
      <c r="C11" s="20">
        <v>-3464.6459518922838</v>
      </c>
      <c r="D11" s="20">
        <v>-3546</v>
      </c>
      <c r="E11" s="20">
        <v>-14364.826827852199</v>
      </c>
      <c r="F11" s="21">
        <v>-13602</v>
      </c>
      <c r="G11" s="20"/>
      <c r="H11" s="20"/>
    </row>
    <row r="12" spans="2:11" ht="16.5" customHeight="1" x14ac:dyDescent="0.3">
      <c r="B12" s="17" t="s">
        <v>10</v>
      </c>
      <c r="C12" s="20">
        <f>-1219029/1000-14.246</f>
        <v>-1233.2750000000001</v>
      </c>
      <c r="D12" s="20">
        <v>-1255</v>
      </c>
      <c r="E12" s="20">
        <f>(-4513762+2975)/1000</f>
        <v>-4510.7870000000003</v>
      </c>
      <c r="F12" s="21">
        <v>-4823</v>
      </c>
      <c r="G12" s="20"/>
      <c r="H12" s="20"/>
    </row>
    <row r="13" spans="2:11" ht="16.5" customHeight="1" x14ac:dyDescent="0.3">
      <c r="B13" s="17"/>
      <c r="C13" s="20"/>
      <c r="D13" s="20"/>
      <c r="E13" s="22"/>
      <c r="F13" s="23"/>
      <c r="G13" s="22"/>
      <c r="H13" s="22"/>
    </row>
    <row r="14" spans="2:11" ht="16.5" customHeight="1" x14ac:dyDescent="0.3">
      <c r="B14" s="24" t="s">
        <v>11</v>
      </c>
      <c r="C14" s="25">
        <f t="shared" ref="C14:E14" si="0">SUM(C10:C12)</f>
        <v>1038.1622864865844</v>
      </c>
      <c r="D14" s="25">
        <f t="shared" si="0"/>
        <v>822</v>
      </c>
      <c r="E14" s="25">
        <f t="shared" si="0"/>
        <v>4076.4527817849394</v>
      </c>
      <c r="F14" s="26">
        <f t="shared" ref="F14" si="1">SUM(F10:F12)</f>
        <v>3122</v>
      </c>
      <c r="G14" s="43"/>
      <c r="H14" s="43"/>
    </row>
    <row r="15" spans="2:11" ht="16.5" customHeight="1" x14ac:dyDescent="0.3">
      <c r="B15" s="17"/>
      <c r="C15" s="20"/>
      <c r="D15" s="20"/>
      <c r="E15" s="22"/>
      <c r="F15" s="23"/>
      <c r="G15" s="22"/>
      <c r="H15" s="22"/>
    </row>
    <row r="16" spans="2:11" ht="16.5" customHeight="1" x14ac:dyDescent="0.3">
      <c r="B16" s="17" t="s">
        <v>12</v>
      </c>
      <c r="C16" s="20">
        <v>-653.93053549210936</v>
      </c>
      <c r="D16" s="20">
        <v>-394</v>
      </c>
      <c r="E16" s="20">
        <v>-2290.5665384620465</v>
      </c>
      <c r="F16" s="21">
        <v>-1533</v>
      </c>
      <c r="G16" s="20"/>
      <c r="H16" s="20"/>
      <c r="J16" s="20"/>
      <c r="K16" s="20"/>
    </row>
    <row r="17" spans="2:11" ht="16.5" customHeight="1" x14ac:dyDescent="0.3">
      <c r="B17" s="17" t="s">
        <v>13</v>
      </c>
      <c r="C17" s="20">
        <v>-280.61635541182625</v>
      </c>
      <c r="D17" s="20">
        <v>-199</v>
      </c>
      <c r="E17" s="20">
        <v>-860.25567638921427</v>
      </c>
      <c r="F17" s="21">
        <v>-682</v>
      </c>
      <c r="G17" s="20"/>
      <c r="H17" s="20"/>
      <c r="J17" s="20"/>
      <c r="K17" s="20"/>
    </row>
    <row r="18" spans="2:11" x14ac:dyDescent="0.3">
      <c r="B18" s="17" t="s">
        <v>21</v>
      </c>
      <c r="C18" s="20">
        <f>(52375+14246)/1000</f>
        <v>66.620999999999995</v>
      </c>
      <c r="D18" s="20">
        <v>77</v>
      </c>
      <c r="E18" s="20">
        <v>97.154951167199243</v>
      </c>
      <c r="F18" s="21">
        <v>217</v>
      </c>
      <c r="G18" s="20"/>
      <c r="H18" s="20"/>
      <c r="J18" s="20"/>
      <c r="K18" s="20"/>
    </row>
    <row r="19" spans="2:11" x14ac:dyDescent="0.3">
      <c r="B19" s="17" t="s">
        <v>22</v>
      </c>
      <c r="C19" s="20">
        <f t="shared" ref="C19" si="2">J19/1000</f>
        <v>0</v>
      </c>
      <c r="D19" s="20">
        <v>0</v>
      </c>
      <c r="E19" s="20">
        <v>-2.9750084316898247</v>
      </c>
      <c r="F19" s="21">
        <v>-52</v>
      </c>
      <c r="G19" s="20"/>
      <c r="H19" s="20"/>
      <c r="J19" s="20"/>
      <c r="K19" s="20"/>
    </row>
    <row r="20" spans="2:11" ht="12.5" thickBot="1" x14ac:dyDescent="0.35">
      <c r="B20" s="24"/>
      <c r="C20" s="20"/>
      <c r="D20" s="20"/>
      <c r="E20" s="22"/>
      <c r="F20" s="23"/>
      <c r="G20" s="22"/>
      <c r="H20" s="22"/>
      <c r="J20" s="20"/>
      <c r="K20" s="22"/>
    </row>
    <row r="21" spans="2:11" x14ac:dyDescent="0.3">
      <c r="B21" s="24" t="s">
        <v>14</v>
      </c>
      <c r="C21" s="27">
        <f>SUM(C14:C20)</f>
        <v>170.23639558264881</v>
      </c>
      <c r="D21" s="27">
        <f t="shared" ref="D21:F21" si="3">SUM(D14:D20)</f>
        <v>306</v>
      </c>
      <c r="E21" s="27">
        <f t="shared" si="3"/>
        <v>1019.8105096691879</v>
      </c>
      <c r="F21" s="28">
        <f t="shared" si="3"/>
        <v>1072</v>
      </c>
      <c r="G21" s="43"/>
      <c r="H21" s="43"/>
      <c r="J21" s="20"/>
      <c r="K21" s="20"/>
    </row>
    <row r="22" spans="2:11" x14ac:dyDescent="0.3">
      <c r="B22" s="24" t="s">
        <v>15</v>
      </c>
      <c r="C22" s="20">
        <v>-35.841031502994824</v>
      </c>
      <c r="D22" s="20">
        <v>-3</v>
      </c>
      <c r="E22" s="20">
        <v>-314.255890839313</v>
      </c>
      <c r="F22" s="21">
        <v>-2.6120000000000001</v>
      </c>
      <c r="G22" s="43"/>
      <c r="H22" s="43"/>
      <c r="J22" s="20"/>
      <c r="K22" s="20"/>
    </row>
    <row r="23" spans="2:11" ht="12.5" thickBot="1" x14ac:dyDescent="0.35">
      <c r="B23" s="24" t="s">
        <v>16</v>
      </c>
      <c r="C23" s="29">
        <f>C21+C22</f>
        <v>134.39536407965397</v>
      </c>
      <c r="D23" s="29">
        <f>D21+D22</f>
        <v>303</v>
      </c>
      <c r="E23" s="29">
        <f>E21+E22</f>
        <v>705.55461882987493</v>
      </c>
      <c r="F23" s="30">
        <f>F21+F22</f>
        <v>1069.3879999999999</v>
      </c>
      <c r="G23" s="43"/>
      <c r="H23" s="43"/>
      <c r="J23" s="31"/>
      <c r="K23" s="31"/>
    </row>
    <row r="24" spans="2:11" x14ac:dyDescent="0.3">
      <c r="B24" s="24"/>
      <c r="C24" s="31"/>
      <c r="D24" s="31"/>
      <c r="E24" s="22"/>
      <c r="F24" s="23"/>
      <c r="G24" s="22"/>
      <c r="H24" s="22"/>
      <c r="J24" s="31"/>
      <c r="K24" s="22"/>
    </row>
    <row r="25" spans="2:11" x14ac:dyDescent="0.3">
      <c r="B25" s="32" t="s">
        <v>17</v>
      </c>
      <c r="C25" s="20"/>
      <c r="D25" s="20"/>
      <c r="E25" s="22"/>
      <c r="F25" s="23"/>
      <c r="G25" s="22"/>
      <c r="H25" s="22"/>
      <c r="J25" s="20"/>
      <c r="K25" s="22"/>
    </row>
    <row r="26" spans="2:11" x14ac:dyDescent="0.3">
      <c r="B26" s="33" t="s">
        <v>18</v>
      </c>
      <c r="C26" s="20"/>
      <c r="D26" s="20"/>
      <c r="E26" s="22"/>
      <c r="F26" s="23"/>
      <c r="G26" s="22"/>
      <c r="H26" s="22"/>
      <c r="J26" s="20"/>
      <c r="K26" s="22"/>
    </row>
    <row r="27" spans="2:11" x14ac:dyDescent="0.3">
      <c r="B27" s="24" t="s">
        <v>16</v>
      </c>
      <c r="C27" s="31">
        <f>C23</f>
        <v>134.39536407965397</v>
      </c>
      <c r="D27" s="31">
        <f t="shared" ref="D27:F27" si="4">D23</f>
        <v>303</v>
      </c>
      <c r="E27" s="31">
        <f t="shared" si="4"/>
        <v>705.55461882987493</v>
      </c>
      <c r="F27" s="34">
        <f t="shared" si="4"/>
        <v>1069.3879999999999</v>
      </c>
      <c r="G27" s="31"/>
      <c r="H27" s="31"/>
      <c r="J27" s="31"/>
      <c r="K27" s="31"/>
    </row>
    <row r="28" spans="2:11" s="36" customFormat="1" x14ac:dyDescent="0.3">
      <c r="B28" s="35" t="s">
        <v>19</v>
      </c>
      <c r="C28" s="20"/>
      <c r="D28" s="20"/>
      <c r="E28" s="20"/>
      <c r="F28" s="21"/>
      <c r="G28" s="20"/>
      <c r="H28" s="20"/>
      <c r="J28" s="20"/>
      <c r="K28" s="20"/>
    </row>
    <row r="29" spans="2:11" s="36" customFormat="1" x14ac:dyDescent="0.3">
      <c r="B29" s="17" t="s">
        <v>12</v>
      </c>
      <c r="C29" s="20">
        <f t="shared" ref="C29:F30" si="5">-C16</f>
        <v>653.93053549210936</v>
      </c>
      <c r="D29" s="20">
        <f t="shared" si="5"/>
        <v>394</v>
      </c>
      <c r="E29" s="20">
        <f t="shared" si="5"/>
        <v>2290.5665384620465</v>
      </c>
      <c r="F29" s="21">
        <f t="shared" si="5"/>
        <v>1533</v>
      </c>
      <c r="G29" s="20"/>
      <c r="H29" s="20"/>
      <c r="J29" s="20"/>
      <c r="K29" s="20"/>
    </row>
    <row r="30" spans="2:11" s="36" customFormat="1" x14ac:dyDescent="0.3">
      <c r="B30" s="17" t="s">
        <v>13</v>
      </c>
      <c r="C30" s="20">
        <f t="shared" si="5"/>
        <v>280.61635541182625</v>
      </c>
      <c r="D30" s="20">
        <f t="shared" si="5"/>
        <v>199</v>
      </c>
      <c r="E30" s="20">
        <f t="shared" si="5"/>
        <v>860.25567638921427</v>
      </c>
      <c r="F30" s="21">
        <f t="shared" si="5"/>
        <v>682</v>
      </c>
      <c r="G30" s="20"/>
      <c r="H30" s="20"/>
      <c r="J30" s="20"/>
      <c r="K30" s="20"/>
    </row>
    <row r="31" spans="2:11" s="36" customFormat="1" x14ac:dyDescent="0.3">
      <c r="B31" s="17" t="s">
        <v>22</v>
      </c>
      <c r="C31" s="20">
        <f>-C19</f>
        <v>0</v>
      </c>
      <c r="D31" s="20">
        <f t="shared" ref="D31:F31" si="6">-D19</f>
        <v>0</v>
      </c>
      <c r="E31" s="20">
        <f t="shared" si="6"/>
        <v>2.9750084316898247</v>
      </c>
      <c r="F31" s="21">
        <f t="shared" si="6"/>
        <v>52</v>
      </c>
      <c r="G31" s="20"/>
      <c r="H31" s="20"/>
      <c r="J31" s="20"/>
      <c r="K31" s="20"/>
    </row>
    <row r="32" spans="2:11" s="36" customFormat="1" x14ac:dyDescent="0.3">
      <c r="B32" s="17" t="s">
        <v>15</v>
      </c>
      <c r="C32" s="20">
        <f>-C22</f>
        <v>35.841031502994824</v>
      </c>
      <c r="D32" s="20">
        <f t="shared" ref="D32:F32" si="7">-D22</f>
        <v>3</v>
      </c>
      <c r="E32" s="20">
        <f t="shared" si="7"/>
        <v>314.255890839313</v>
      </c>
      <c r="F32" s="21">
        <f t="shared" si="7"/>
        <v>2.6120000000000001</v>
      </c>
      <c r="G32" s="20"/>
      <c r="H32" s="20"/>
      <c r="J32" s="20"/>
      <c r="K32" s="20"/>
    </row>
    <row r="33" spans="2:11" x14ac:dyDescent="0.3">
      <c r="B33" s="17" t="s">
        <v>20</v>
      </c>
      <c r="C33" s="20"/>
      <c r="D33" s="20"/>
      <c r="E33" s="20"/>
      <c r="F33" s="21"/>
      <c r="G33" s="20"/>
      <c r="H33" s="20"/>
      <c r="J33" s="20"/>
      <c r="K33" s="20"/>
    </row>
    <row r="34" spans="2:11" x14ac:dyDescent="0.3">
      <c r="B34" s="17" t="s">
        <v>23</v>
      </c>
      <c r="C34" s="20">
        <f>-C18</f>
        <v>-66.620999999999995</v>
      </c>
      <c r="D34" s="20">
        <f t="shared" ref="D34:F34" si="8">-D18</f>
        <v>-77</v>
      </c>
      <c r="E34" s="20">
        <f t="shared" si="8"/>
        <v>-97.154951167199243</v>
      </c>
      <c r="F34" s="21">
        <f t="shared" si="8"/>
        <v>-217</v>
      </c>
      <c r="G34" s="20"/>
      <c r="H34" s="20"/>
      <c r="J34" s="20"/>
      <c r="K34" s="20"/>
    </row>
    <row r="35" spans="2:11" x14ac:dyDescent="0.3">
      <c r="B35" s="24" t="s">
        <v>11</v>
      </c>
      <c r="C35" s="25">
        <f>SUM(C27:C34)</f>
        <v>1038.1622864865842</v>
      </c>
      <c r="D35" s="25">
        <f t="shared" ref="D35:F35" si="9">SUM(D27:D34)</f>
        <v>822</v>
      </c>
      <c r="E35" s="25">
        <f t="shared" si="9"/>
        <v>4076.4527817849394</v>
      </c>
      <c r="F35" s="26">
        <f t="shared" si="9"/>
        <v>3122</v>
      </c>
      <c r="G35" s="31"/>
      <c r="H35" s="31"/>
      <c r="J35" s="31"/>
      <c r="K35" s="31"/>
    </row>
    <row r="36" spans="2:11" x14ac:dyDescent="0.3">
      <c r="B36" s="37"/>
      <c r="C36" s="38"/>
      <c r="D36" s="39"/>
      <c r="E36" s="38"/>
      <c r="F36" s="40"/>
    </row>
    <row r="38" spans="2:11" x14ac:dyDescent="0.3">
      <c r="C38" s="4" t="s">
        <v>24</v>
      </c>
    </row>
    <row r="40" spans="2:11" x14ac:dyDescent="0.3">
      <c r="C40" s="41" t="s">
        <v>30</v>
      </c>
    </row>
    <row r="41" spans="2:11" x14ac:dyDescent="0.3">
      <c r="B41" s="42" t="s">
        <v>28</v>
      </c>
      <c r="C41" s="42">
        <f>ROUND((332604.913+2318356.41433635)/1000,0)</f>
        <v>2651</v>
      </c>
    </row>
    <row r="42" spans="2:11" x14ac:dyDescent="0.3">
      <c r="B42" s="42" t="s">
        <v>29</v>
      </c>
      <c r="C42" s="42">
        <v>4405</v>
      </c>
    </row>
  </sheetData>
  <hyperlinks>
    <hyperlink ref="F7" r:id="rId1" display="2014@" xr:uid="{B3E4D7BB-FC61-4813-9718-950436175A0B}"/>
    <hyperlink ref="C7" r:id="rId2" display="2014@" xr:uid="{01CDB8C2-B1A4-4492-A81B-7CF81286E6B0}"/>
    <hyperlink ref="E7" r:id="rId3" display="2014@" xr:uid="{75009F09-4C6C-4CDD-B252-93862FE0AAD6}"/>
    <hyperlink ref="D7" r:id="rId4" display="2014@" xr:uid="{ADD6AF5B-8AAD-4942-A843-79564B0AABAC}"/>
  </hyperlinks>
  <pageMargins left="0.38" right="0.24" top="1" bottom="1" header="0.5" footer="0.5"/>
  <pageSetup paperSize="9" orientation="portrait"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59C4-1990-4277-8E3E-A3D71074A783}">
  <sheetPr codeName="Sheet4"/>
  <dimension ref="B3:E13"/>
  <sheetViews>
    <sheetView showGridLines="0" workbookViewId="0">
      <selection activeCell="L16" sqref="L16"/>
    </sheetView>
  </sheetViews>
  <sheetFormatPr defaultRowHeight="12.5" x14ac:dyDescent="0.25"/>
  <sheetData>
    <row r="3" spans="2:5" ht="13" x14ac:dyDescent="0.3">
      <c r="C3" s="51">
        <v>44896</v>
      </c>
      <c r="D3" s="51">
        <v>44531</v>
      </c>
      <c r="E3" s="51">
        <v>44805</v>
      </c>
    </row>
    <row r="4" spans="2:5" x14ac:dyDescent="0.25">
      <c r="B4" s="49" t="s">
        <v>8</v>
      </c>
      <c r="C4">
        <v>800</v>
      </c>
      <c r="D4">
        <v>678</v>
      </c>
      <c r="E4">
        <v>794</v>
      </c>
    </row>
    <row r="5" spans="2:5" x14ac:dyDescent="0.25">
      <c r="B5" s="49" t="s">
        <v>11</v>
      </c>
      <c r="C5">
        <v>160</v>
      </c>
      <c r="D5">
        <v>157</v>
      </c>
      <c r="E5">
        <v>151</v>
      </c>
    </row>
    <row r="6" spans="2:5" x14ac:dyDescent="0.25">
      <c r="B6" s="49" t="s">
        <v>44</v>
      </c>
      <c r="C6">
        <v>30</v>
      </c>
      <c r="D6">
        <v>48</v>
      </c>
      <c r="E6">
        <v>22</v>
      </c>
    </row>
    <row r="7" spans="2:5" x14ac:dyDescent="0.25">
      <c r="B7" s="49" t="s">
        <v>45</v>
      </c>
      <c r="C7">
        <v>15</v>
      </c>
      <c r="D7">
        <v>34</v>
      </c>
      <c r="E7">
        <v>11</v>
      </c>
    </row>
    <row r="10" spans="2:5" x14ac:dyDescent="0.25">
      <c r="C10" s="50">
        <f t="shared" ref="C10:D10" si="0">C5/C$4</f>
        <v>0.2</v>
      </c>
      <c r="D10" s="50">
        <f t="shared" si="0"/>
        <v>0.23156342182890854</v>
      </c>
      <c r="E10" s="50">
        <f>E5/E$4</f>
        <v>0.19017632241813601</v>
      </c>
    </row>
    <row r="11" spans="2:5" x14ac:dyDescent="0.25">
      <c r="C11" s="50">
        <f t="shared" ref="C11:D11" si="1">C6/C$4</f>
        <v>3.7499999999999999E-2</v>
      </c>
      <c r="D11" s="50">
        <f t="shared" si="1"/>
        <v>7.0796460176991149E-2</v>
      </c>
      <c r="E11" s="50">
        <f>E6/E$4</f>
        <v>2.7707808564231738E-2</v>
      </c>
    </row>
    <row r="12" spans="2:5" x14ac:dyDescent="0.25">
      <c r="C12" s="50">
        <f t="shared" ref="C12:D12" si="2">C7/C$4</f>
        <v>1.8749999999999999E-2</v>
      </c>
      <c r="D12" s="50">
        <f t="shared" si="2"/>
        <v>5.0147492625368731E-2</v>
      </c>
      <c r="E12" s="50">
        <f>E7/E$4</f>
        <v>1.3853904282115869E-2</v>
      </c>
    </row>
    <row r="13" spans="2:5" x14ac:dyDescent="0.25">
      <c r="C13" s="50"/>
      <c r="D13" s="50"/>
      <c r="E13" s="5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0DBA0-245F-4664-9ED9-157A158DEC91}">
  <sheetPr codeName="Sheet5">
    <pageSetUpPr fitToPage="1"/>
  </sheetPr>
  <dimension ref="B1:Y74"/>
  <sheetViews>
    <sheetView showGridLines="0" showZeros="0" tabSelected="1" zoomScale="112" zoomScaleNormal="112" workbookViewId="0">
      <pane xSplit="2" ySplit="8" topLeftCell="C16" activePane="bottomRight" state="frozen"/>
      <selection pane="topRight" activeCell="C1" sqref="C1"/>
      <selection pane="bottomLeft" activeCell="A9" sqref="A9"/>
      <selection pane="bottomRight" activeCell="E38" sqref="E38"/>
    </sheetView>
  </sheetViews>
  <sheetFormatPr defaultColWidth="9.1796875" defaultRowHeight="12" x14ac:dyDescent="0.3"/>
  <cols>
    <col min="1" max="1" width="2.54296875" style="4" customWidth="1"/>
    <col min="2" max="2" width="37.453125" style="4" customWidth="1"/>
    <col min="3" max="4" width="13.54296875" style="4" bestFit="1" customWidth="1"/>
    <col min="5" max="5" width="13.36328125" style="4" bestFit="1" customWidth="1"/>
    <col min="6" max="6" width="16.08984375" style="4" hidden="1" customWidth="1"/>
    <col min="7" max="7" width="12" style="4" hidden="1" customWidth="1"/>
    <col min="8" max="8" width="7.90625" style="4" hidden="1" customWidth="1"/>
    <col min="9" max="9" width="7.1796875" style="4" hidden="1" customWidth="1"/>
    <col min="10" max="10" width="6.36328125" style="4" hidden="1" customWidth="1"/>
    <col min="11" max="11" width="7.1796875" style="4" hidden="1" customWidth="1"/>
    <col min="12" max="12" width="10.81640625" style="4" hidden="1" customWidth="1"/>
    <col min="13" max="13" width="7.1796875" style="4" hidden="1" customWidth="1"/>
    <col min="14" max="14" width="10.81640625" style="4" hidden="1" customWidth="1"/>
    <col min="15" max="15" width="7" style="4" hidden="1" customWidth="1"/>
    <col min="16" max="16" width="4.54296875" style="4" hidden="1" customWidth="1"/>
    <col min="17" max="17" width="7" style="4" hidden="1" customWidth="1"/>
    <col min="18" max="18" width="3.6328125" style="4" hidden="1" customWidth="1"/>
    <col min="19" max="27" width="0" style="4" hidden="1" customWidth="1"/>
    <col min="28" max="16384" width="9.1796875" style="4"/>
  </cols>
  <sheetData>
    <row r="1" spans="2:18" x14ac:dyDescent="0.3">
      <c r="B1" s="1" t="s">
        <v>0</v>
      </c>
      <c r="C1" s="2"/>
      <c r="D1" s="2"/>
      <c r="E1" s="2"/>
    </row>
    <row r="3" spans="2:18" x14ac:dyDescent="0.3">
      <c r="B3" s="1" t="s">
        <v>1</v>
      </c>
    </row>
    <row r="4" spans="2:18" x14ac:dyDescent="0.3">
      <c r="B4" s="1" t="s">
        <v>2</v>
      </c>
    </row>
    <row r="5" spans="2:18" x14ac:dyDescent="0.3">
      <c r="B5" s="5"/>
      <c r="C5" s="6" t="s">
        <v>3</v>
      </c>
      <c r="D5" s="6" t="s">
        <v>3</v>
      </c>
      <c r="E5" s="54" t="s">
        <v>3</v>
      </c>
      <c r="F5" s="12"/>
    </row>
    <row r="6" spans="2:18" x14ac:dyDescent="0.3">
      <c r="B6" s="9" t="s">
        <v>5</v>
      </c>
      <c r="C6" s="10" t="s">
        <v>55</v>
      </c>
      <c r="D6" s="10" t="s">
        <v>55</v>
      </c>
      <c r="E6" s="11" t="s">
        <v>40</v>
      </c>
      <c r="F6" s="10" t="s">
        <v>41</v>
      </c>
    </row>
    <row r="7" spans="2:18" x14ac:dyDescent="0.3">
      <c r="B7" s="9"/>
      <c r="C7" s="12">
        <v>2023</v>
      </c>
      <c r="D7" s="12">
        <v>2022</v>
      </c>
      <c r="E7" s="13">
        <v>2023</v>
      </c>
      <c r="F7" s="12"/>
    </row>
    <row r="8" spans="2:18" x14ac:dyDescent="0.3">
      <c r="B8" s="14"/>
      <c r="C8" s="15"/>
      <c r="D8" s="15"/>
      <c r="E8" s="16"/>
      <c r="F8" s="12"/>
      <c r="H8" s="4" t="s">
        <v>46</v>
      </c>
      <c r="I8" s="4" t="s">
        <v>47</v>
      </c>
    </row>
    <row r="9" spans="2:18" x14ac:dyDescent="0.3">
      <c r="B9" s="17"/>
      <c r="E9" s="55"/>
    </row>
    <row r="10" spans="2:18" x14ac:dyDescent="0.3">
      <c r="B10" s="17" t="s">
        <v>8</v>
      </c>
      <c r="C10" s="20">
        <v>8659</v>
      </c>
      <c r="D10" s="20">
        <v>8896</v>
      </c>
      <c r="E10" s="21">
        <v>8791.1319999999996</v>
      </c>
      <c r="F10" s="43">
        <f>(C10-D10)/D10</f>
        <v>-2.6641187050359713E-2</v>
      </c>
      <c r="G10" s="20"/>
      <c r="H10" s="22">
        <v>17338.429438557378</v>
      </c>
      <c r="I10" s="22">
        <f>H10-E10</f>
        <v>8547.297438557378</v>
      </c>
      <c r="L10" s="22">
        <f>ROUND(C10,0)</f>
        <v>8659</v>
      </c>
      <c r="M10" s="22">
        <f>ROUND(C10,0)</f>
        <v>8659</v>
      </c>
      <c r="N10" s="22">
        <f>C10-M10</f>
        <v>0</v>
      </c>
      <c r="O10" s="22">
        <f>ROUND(D10,0)</f>
        <v>8896</v>
      </c>
      <c r="P10" s="22">
        <f>D10-O10</f>
        <v>0</v>
      </c>
      <c r="Q10" s="22">
        <f>ROUND(E10,0)</f>
        <v>8791</v>
      </c>
      <c r="R10" s="22">
        <f>E10-Q10</f>
        <v>0.1319999999996071</v>
      </c>
    </row>
    <row r="11" spans="2:18" ht="16.5" customHeight="1" x14ac:dyDescent="0.3">
      <c r="B11" s="17" t="s">
        <v>9</v>
      </c>
      <c r="C11" s="20">
        <v>-5390</v>
      </c>
      <c r="D11" s="20">
        <v>-5767</v>
      </c>
      <c r="E11" s="21">
        <v>-5509.2430000000004</v>
      </c>
      <c r="F11" s="52"/>
      <c r="G11" s="20"/>
      <c r="H11" s="22">
        <v>-10880.450344024714</v>
      </c>
      <c r="I11" s="22">
        <f t="shared" ref="I11:I12" si="0">H11-E11</f>
        <v>-5371.2073440247132</v>
      </c>
      <c r="L11" s="22">
        <f t="shared" ref="L11:L12" si="1">ROUND(C11,0)</f>
        <v>-5390</v>
      </c>
      <c r="M11" s="22">
        <f t="shared" ref="M11:M24" si="2">ROUND(C11,0)</f>
        <v>-5390</v>
      </c>
      <c r="N11" s="22">
        <f t="shared" ref="N11:N37" si="3">C11-M11</f>
        <v>0</v>
      </c>
      <c r="O11" s="22">
        <f t="shared" ref="O11:O37" si="4">ROUND(D11,0)</f>
        <v>-5767</v>
      </c>
      <c r="P11" s="22">
        <f t="shared" ref="P11:P37" si="5">D11-O11</f>
        <v>0</v>
      </c>
      <c r="Q11" s="22">
        <f t="shared" ref="Q11:Q12" si="6">ROUND(E11,0)</f>
        <v>-5509</v>
      </c>
      <c r="R11" s="22">
        <f t="shared" ref="R11:R37" si="7">E11-Q11</f>
        <v>-0.2430000000003929</v>
      </c>
    </row>
    <row r="12" spans="2:18" ht="16.5" customHeight="1" x14ac:dyDescent="0.3">
      <c r="B12" s="17" t="s">
        <v>10</v>
      </c>
      <c r="C12" s="20">
        <v>-1580</v>
      </c>
      <c r="D12" s="20">
        <v>-1510</v>
      </c>
      <c r="E12" s="21">
        <v>-1762.6479999999999</v>
      </c>
      <c r="F12" s="52"/>
      <c r="G12" s="20"/>
      <c r="H12" s="22">
        <v>-3215</v>
      </c>
      <c r="I12" s="22">
        <f t="shared" si="0"/>
        <v>-1452.3520000000001</v>
      </c>
      <c r="L12" s="22">
        <f t="shared" si="1"/>
        <v>-1580</v>
      </c>
      <c r="M12" s="22">
        <f t="shared" si="2"/>
        <v>-1580</v>
      </c>
      <c r="N12" s="22">
        <f t="shared" si="3"/>
        <v>0</v>
      </c>
      <c r="O12" s="22">
        <f t="shared" si="4"/>
        <v>-1510</v>
      </c>
      <c r="P12" s="22">
        <f t="shared" si="5"/>
        <v>0</v>
      </c>
      <c r="Q12" s="22">
        <f t="shared" si="6"/>
        <v>-1763</v>
      </c>
      <c r="R12" s="22">
        <f t="shared" si="7"/>
        <v>0.35200000000008913</v>
      </c>
    </row>
    <row r="13" spans="2:18" ht="16.5" customHeight="1" x14ac:dyDescent="0.3">
      <c r="B13" s="17"/>
      <c r="C13" s="20"/>
      <c r="D13" s="20"/>
      <c r="E13" s="21"/>
      <c r="F13" s="22"/>
      <c r="G13" s="20"/>
      <c r="N13" s="22">
        <f t="shared" si="3"/>
        <v>0</v>
      </c>
      <c r="O13" s="22">
        <f t="shared" si="4"/>
        <v>0</v>
      </c>
      <c r="P13" s="22">
        <f t="shared" si="5"/>
        <v>0</v>
      </c>
      <c r="R13" s="22">
        <f t="shared" si="7"/>
        <v>0</v>
      </c>
    </row>
    <row r="14" spans="2:18" ht="16.5" customHeight="1" x14ac:dyDescent="0.3">
      <c r="B14" s="24" t="s">
        <v>11</v>
      </c>
      <c r="C14" s="25">
        <f t="shared" ref="C14:E14" si="8">SUM(C10:C12)</f>
        <v>1689</v>
      </c>
      <c r="D14" s="25">
        <f t="shared" si="8"/>
        <v>1619</v>
      </c>
      <c r="E14" s="26">
        <f t="shared" si="8"/>
        <v>1519.2409999999993</v>
      </c>
      <c r="F14" s="43">
        <f>(C14-D14)/D14</f>
        <v>4.3236565781346513E-2</v>
      </c>
      <c r="G14" s="31"/>
      <c r="H14" s="26">
        <f t="shared" ref="H14" si="9">SUM(H10:H12)</f>
        <v>3242.979094532664</v>
      </c>
      <c r="I14" s="26">
        <f t="shared" ref="I14" si="10">SUM(I10:I12)</f>
        <v>1723.7380945326647</v>
      </c>
      <c r="L14" s="25">
        <f t="shared" ref="L14" si="11">SUM(L10:L12)</f>
        <v>1689</v>
      </c>
      <c r="M14" s="22">
        <f t="shared" si="2"/>
        <v>1689</v>
      </c>
      <c r="N14" s="22">
        <f t="shared" si="3"/>
        <v>0</v>
      </c>
      <c r="O14" s="22">
        <f t="shared" si="4"/>
        <v>1619</v>
      </c>
      <c r="P14" s="22">
        <f t="shared" si="5"/>
        <v>0</v>
      </c>
      <c r="Q14" s="22">
        <f t="shared" ref="Q14" si="12">ROUND(E14,0)</f>
        <v>1519</v>
      </c>
      <c r="R14" s="22">
        <f t="shared" si="7"/>
        <v>0.24099999999930333</v>
      </c>
    </row>
    <row r="15" spans="2:18" ht="16.5" customHeight="1" x14ac:dyDescent="0.3">
      <c r="B15" s="17"/>
      <c r="C15" s="20"/>
      <c r="D15" s="20"/>
      <c r="E15" s="21"/>
      <c r="F15" s="22"/>
      <c r="G15" s="20"/>
      <c r="N15" s="22">
        <f t="shared" si="3"/>
        <v>0</v>
      </c>
      <c r="O15" s="22">
        <f t="shared" si="4"/>
        <v>0</v>
      </c>
      <c r="P15" s="22">
        <f t="shared" si="5"/>
        <v>0</v>
      </c>
      <c r="R15" s="22">
        <f t="shared" si="7"/>
        <v>0</v>
      </c>
    </row>
    <row r="16" spans="2:18" ht="16.5" customHeight="1" x14ac:dyDescent="0.3">
      <c r="B16" s="17" t="s">
        <v>12</v>
      </c>
      <c r="C16" s="20">
        <v>-1183</v>
      </c>
      <c r="D16" s="20">
        <v>-996</v>
      </c>
      <c r="E16" s="21">
        <v>-1213.232</v>
      </c>
      <c r="F16" s="20"/>
      <c r="G16" s="20"/>
      <c r="H16" s="22">
        <v>-2334.8729560127031</v>
      </c>
      <c r="I16" s="22">
        <f t="shared" ref="I16:I18" si="13">H16-E16</f>
        <v>-1121.6409560127031</v>
      </c>
      <c r="L16" s="22">
        <f t="shared" ref="L16:L19" si="14">ROUND(C16,0)</f>
        <v>-1183</v>
      </c>
      <c r="M16" s="22">
        <f t="shared" si="2"/>
        <v>-1183</v>
      </c>
      <c r="N16" s="22">
        <f t="shared" si="3"/>
        <v>0</v>
      </c>
      <c r="O16" s="22">
        <f t="shared" si="4"/>
        <v>-996</v>
      </c>
      <c r="P16" s="22">
        <f t="shared" si="5"/>
        <v>0</v>
      </c>
      <c r="Q16" s="22">
        <f t="shared" ref="Q16:Q19" si="15">ROUND(E16,0)</f>
        <v>-1213</v>
      </c>
      <c r="R16" s="22">
        <f t="shared" si="7"/>
        <v>-0.2319999999999709</v>
      </c>
    </row>
    <row r="17" spans="2:25" ht="16.5" customHeight="1" x14ac:dyDescent="0.3">
      <c r="B17" s="17" t="s">
        <v>13</v>
      </c>
      <c r="C17" s="20">
        <v>-525</v>
      </c>
      <c r="D17" s="20">
        <v>-420</v>
      </c>
      <c r="E17" s="21">
        <v>-361.23099999999999</v>
      </c>
      <c r="F17" s="20"/>
      <c r="G17" s="20"/>
      <c r="H17" s="22">
        <v>-778</v>
      </c>
      <c r="I17" s="22">
        <f t="shared" si="13"/>
        <v>-416.76900000000001</v>
      </c>
      <c r="L17" s="22">
        <f t="shared" si="14"/>
        <v>-525</v>
      </c>
      <c r="M17" s="22">
        <f t="shared" si="2"/>
        <v>-525</v>
      </c>
      <c r="N17" s="22">
        <f t="shared" si="3"/>
        <v>0</v>
      </c>
      <c r="O17" s="22">
        <f t="shared" si="4"/>
        <v>-420</v>
      </c>
      <c r="P17" s="22">
        <f t="shared" si="5"/>
        <v>0</v>
      </c>
      <c r="Q17" s="22">
        <f t="shared" si="15"/>
        <v>-361</v>
      </c>
      <c r="R17" s="22">
        <f t="shared" si="7"/>
        <v>-0.23099999999999454</v>
      </c>
    </row>
    <row r="18" spans="2:25" x14ac:dyDescent="0.3">
      <c r="B18" s="17" t="s">
        <v>54</v>
      </c>
      <c r="C18" s="20"/>
      <c r="D18" s="20">
        <v>24</v>
      </c>
      <c r="E18" s="21">
        <v>52.798999999999999</v>
      </c>
      <c r="F18" s="20"/>
      <c r="G18" s="20"/>
      <c r="H18" s="22">
        <v>71</v>
      </c>
      <c r="I18" s="22">
        <f t="shared" si="13"/>
        <v>18.201000000000001</v>
      </c>
      <c r="L18" s="22">
        <f t="shared" si="14"/>
        <v>0</v>
      </c>
      <c r="M18" s="22">
        <f t="shared" si="2"/>
        <v>0</v>
      </c>
      <c r="N18" s="22">
        <f t="shared" si="3"/>
        <v>0</v>
      </c>
      <c r="O18" s="22">
        <f t="shared" si="4"/>
        <v>24</v>
      </c>
      <c r="P18" s="22">
        <f t="shared" si="5"/>
        <v>0</v>
      </c>
      <c r="Q18" s="22">
        <f t="shared" si="15"/>
        <v>53</v>
      </c>
      <c r="R18" s="22">
        <f t="shared" si="7"/>
        <v>-0.20100000000000051</v>
      </c>
    </row>
    <row r="19" spans="2:25" x14ac:dyDescent="0.3">
      <c r="B19" s="17" t="s">
        <v>22</v>
      </c>
      <c r="C19" s="20">
        <v>-1</v>
      </c>
      <c r="D19" s="20">
        <v>0</v>
      </c>
      <c r="E19" s="21">
        <v>0</v>
      </c>
      <c r="F19" s="20"/>
      <c r="G19" s="20"/>
      <c r="L19" s="22">
        <f t="shared" si="14"/>
        <v>-1</v>
      </c>
      <c r="M19" s="22">
        <f t="shared" si="2"/>
        <v>-1</v>
      </c>
      <c r="N19" s="22">
        <f t="shared" si="3"/>
        <v>0</v>
      </c>
      <c r="O19" s="22">
        <f t="shared" si="4"/>
        <v>0</v>
      </c>
      <c r="P19" s="22">
        <f t="shared" si="5"/>
        <v>0</v>
      </c>
      <c r="Q19" s="22">
        <f t="shared" si="15"/>
        <v>0</v>
      </c>
      <c r="R19" s="22">
        <f t="shared" si="7"/>
        <v>0</v>
      </c>
    </row>
    <row r="20" spans="2:25" ht="12.5" thickBot="1" x14ac:dyDescent="0.35">
      <c r="B20" s="24"/>
      <c r="C20" s="20"/>
      <c r="D20" s="20"/>
      <c r="E20" s="21"/>
      <c r="F20" s="22"/>
      <c r="G20" s="20"/>
      <c r="N20" s="22">
        <f t="shared" si="3"/>
        <v>0</v>
      </c>
      <c r="O20" s="22">
        <f t="shared" si="4"/>
        <v>0</v>
      </c>
      <c r="P20" s="22">
        <f t="shared" si="5"/>
        <v>0</v>
      </c>
      <c r="R20" s="22">
        <f t="shared" si="7"/>
        <v>0</v>
      </c>
      <c r="X20" s="4">
        <v>96</v>
      </c>
      <c r="Y20" s="4">
        <v>11</v>
      </c>
    </row>
    <row r="21" spans="2:25" x14ac:dyDescent="0.3">
      <c r="B21" s="24" t="s">
        <v>70</v>
      </c>
      <c r="C21" s="27">
        <f>SUM(C14:C20)</f>
        <v>-20</v>
      </c>
      <c r="D21" s="27">
        <f>SUM(D14:D20)</f>
        <v>227</v>
      </c>
      <c r="E21" s="28">
        <f>SUM(E14:E20)</f>
        <v>-2.4230000000006626</v>
      </c>
      <c r="F21" s="43">
        <f>(C21-D21)/D21</f>
        <v>-1.0881057268722467</v>
      </c>
      <c r="G21" s="20"/>
      <c r="H21" s="28">
        <f>SUM(H14:H20)</f>
        <v>201.10613851996095</v>
      </c>
      <c r="I21" s="28">
        <f>SUM(I14:I20)</f>
        <v>203.52913851996161</v>
      </c>
      <c r="L21" s="27">
        <f>SUM(L14:L20)</f>
        <v>-20</v>
      </c>
      <c r="M21" s="22">
        <f t="shared" si="2"/>
        <v>-20</v>
      </c>
      <c r="N21" s="22">
        <f t="shared" si="3"/>
        <v>0</v>
      </c>
      <c r="O21" s="22">
        <f t="shared" si="4"/>
        <v>227</v>
      </c>
      <c r="P21" s="22">
        <f t="shared" si="5"/>
        <v>0</v>
      </c>
      <c r="Q21" s="22">
        <f t="shared" ref="Q21:Q24" si="16">ROUND(E21,0)</f>
        <v>-2</v>
      </c>
      <c r="R21" s="22">
        <f t="shared" si="7"/>
        <v>-0.42300000000066262</v>
      </c>
      <c r="X21" s="4">
        <v>116</v>
      </c>
      <c r="Y21" s="4">
        <v>25</v>
      </c>
    </row>
    <row r="22" spans="2:25" x14ac:dyDescent="0.3">
      <c r="B22" s="24" t="s">
        <v>37</v>
      </c>
      <c r="C22" s="20">
        <v>-8.6999999999999993</v>
      </c>
      <c r="D22" s="20">
        <v>-92</v>
      </c>
      <c r="E22" s="21">
        <v>-201.5</v>
      </c>
      <c r="F22" s="43"/>
      <c r="G22" s="20"/>
      <c r="H22" s="4">
        <f>-ROUND(348.4,0)</f>
        <v>-348</v>
      </c>
      <c r="I22" s="22">
        <f>H22-E22</f>
        <v>-146.5</v>
      </c>
      <c r="L22" s="22">
        <f t="shared" ref="L22:L23" si="17">ROUND(C22,0)</f>
        <v>-9</v>
      </c>
      <c r="M22" s="22">
        <f t="shared" si="2"/>
        <v>-9</v>
      </c>
      <c r="N22" s="22">
        <f t="shared" si="3"/>
        <v>0.30000000000000071</v>
      </c>
      <c r="O22" s="22">
        <f t="shared" si="4"/>
        <v>-92</v>
      </c>
      <c r="P22" s="22">
        <f t="shared" si="5"/>
        <v>0</v>
      </c>
      <c r="Q22" s="22">
        <f t="shared" si="16"/>
        <v>-202</v>
      </c>
      <c r="R22" s="22">
        <f t="shared" si="7"/>
        <v>0.5</v>
      </c>
      <c r="X22" s="4">
        <f>X20-X21</f>
        <v>-20</v>
      </c>
      <c r="Y22" s="4">
        <f>Y20-Y21</f>
        <v>-14</v>
      </c>
    </row>
    <row r="23" spans="2:25" x14ac:dyDescent="0.3">
      <c r="B23" s="24" t="s">
        <v>38</v>
      </c>
      <c r="C23" s="20">
        <v>14.7</v>
      </c>
      <c r="D23" s="20">
        <v>123</v>
      </c>
      <c r="E23" s="21">
        <v>163.9</v>
      </c>
      <c r="F23" s="43"/>
      <c r="G23" s="20"/>
      <c r="H23" s="4">
        <f>-ROUND(-257.3,0)</f>
        <v>257</v>
      </c>
      <c r="I23" s="22">
        <f>H23-E23</f>
        <v>93.1</v>
      </c>
      <c r="L23" s="22">
        <f t="shared" si="17"/>
        <v>15</v>
      </c>
      <c r="M23" s="22">
        <f t="shared" si="2"/>
        <v>15</v>
      </c>
      <c r="N23" s="22">
        <f t="shared" si="3"/>
        <v>-0.30000000000000071</v>
      </c>
      <c r="O23" s="22">
        <f t="shared" si="4"/>
        <v>123</v>
      </c>
      <c r="P23" s="22">
        <f t="shared" si="5"/>
        <v>0</v>
      </c>
      <c r="Q23" s="22">
        <f t="shared" si="16"/>
        <v>164</v>
      </c>
      <c r="R23" s="22">
        <f t="shared" si="7"/>
        <v>-9.9999999999994316E-2</v>
      </c>
    </row>
    <row r="24" spans="2:25" ht="12.5" thickBot="1" x14ac:dyDescent="0.35">
      <c r="B24" s="24" t="s">
        <v>71</v>
      </c>
      <c r="C24" s="29">
        <f t="shared" ref="C24:E24" si="18">SUM(C21:C23)</f>
        <v>-14</v>
      </c>
      <c r="D24" s="29">
        <f t="shared" si="18"/>
        <v>258</v>
      </c>
      <c r="E24" s="30">
        <f t="shared" si="18"/>
        <v>-40.02300000000065</v>
      </c>
      <c r="F24" s="43">
        <f>(C24-D24)/D24</f>
        <v>-1.054263565891473</v>
      </c>
      <c r="G24" s="31"/>
      <c r="H24" s="30">
        <f t="shared" ref="H24" si="19">SUM(H21:H23)</f>
        <v>110.10613851996095</v>
      </c>
      <c r="I24" s="30">
        <f t="shared" ref="I24" si="20">SUM(I21:I23)</f>
        <v>150.1291385199616</v>
      </c>
      <c r="L24" s="29">
        <f t="shared" ref="L24" si="21">SUM(L21:L23)</f>
        <v>-14</v>
      </c>
      <c r="M24" s="22">
        <f t="shared" si="2"/>
        <v>-14</v>
      </c>
      <c r="N24" s="22">
        <f t="shared" si="3"/>
        <v>0</v>
      </c>
      <c r="O24" s="22">
        <f t="shared" si="4"/>
        <v>258</v>
      </c>
      <c r="P24" s="22">
        <f t="shared" si="5"/>
        <v>0</v>
      </c>
      <c r="Q24" s="22">
        <f t="shared" si="16"/>
        <v>-40</v>
      </c>
      <c r="R24" s="22">
        <f t="shared" si="7"/>
        <v>-2.3000000000649834E-2</v>
      </c>
    </row>
    <row r="25" spans="2:25" x14ac:dyDescent="0.3">
      <c r="B25" s="24"/>
      <c r="C25" s="31"/>
      <c r="D25" s="31"/>
      <c r="E25" s="34"/>
      <c r="F25" s="22"/>
      <c r="G25" s="31"/>
      <c r="N25" s="22">
        <f t="shared" si="3"/>
        <v>0</v>
      </c>
      <c r="O25" s="22">
        <f t="shared" si="4"/>
        <v>0</v>
      </c>
      <c r="P25" s="22">
        <f t="shared" si="5"/>
        <v>0</v>
      </c>
      <c r="R25" s="22">
        <f t="shared" si="7"/>
        <v>0</v>
      </c>
    </row>
    <row r="26" spans="2:25" x14ac:dyDescent="0.3">
      <c r="B26" s="80" t="s">
        <v>72</v>
      </c>
      <c r="C26" s="20"/>
      <c r="D26" s="20"/>
      <c r="E26" s="21"/>
      <c r="F26" s="22"/>
      <c r="G26" s="20"/>
      <c r="N26" s="22">
        <f t="shared" si="3"/>
        <v>0</v>
      </c>
      <c r="O26" s="22">
        <f t="shared" si="4"/>
        <v>0</v>
      </c>
      <c r="P26" s="22">
        <f t="shared" si="5"/>
        <v>0</v>
      </c>
      <c r="R26" s="22">
        <f t="shared" si="7"/>
        <v>0</v>
      </c>
    </row>
    <row r="27" spans="2:25" x14ac:dyDescent="0.3">
      <c r="B27" s="33" t="s">
        <v>18</v>
      </c>
      <c r="C27" s="20"/>
      <c r="D27" s="20"/>
      <c r="E27" s="21"/>
      <c r="F27" s="22"/>
      <c r="G27" s="20"/>
      <c r="N27" s="22">
        <f t="shared" si="3"/>
        <v>0</v>
      </c>
      <c r="O27" s="22">
        <f t="shared" si="4"/>
        <v>0</v>
      </c>
      <c r="P27" s="22">
        <f t="shared" si="5"/>
        <v>0</v>
      </c>
      <c r="R27" s="22">
        <f t="shared" si="7"/>
        <v>0</v>
      </c>
    </row>
    <row r="28" spans="2:25" x14ac:dyDescent="0.3">
      <c r="B28" s="24" t="s">
        <v>71</v>
      </c>
      <c r="C28" s="31">
        <f>C24</f>
        <v>-14</v>
      </c>
      <c r="D28" s="31">
        <f t="shared" ref="D28:E28" si="22">D24</f>
        <v>258</v>
      </c>
      <c r="E28" s="34">
        <f t="shared" si="22"/>
        <v>-40.02300000000065</v>
      </c>
      <c r="F28" s="31"/>
      <c r="G28" s="31"/>
      <c r="L28" s="31">
        <f>L24</f>
        <v>-14</v>
      </c>
      <c r="M28" s="22">
        <f t="shared" ref="M28:M37" si="23">ROUND(C28,0)</f>
        <v>-14</v>
      </c>
      <c r="N28" s="22">
        <f t="shared" si="3"/>
        <v>0</v>
      </c>
      <c r="O28" s="22">
        <f t="shared" si="4"/>
        <v>258</v>
      </c>
      <c r="P28" s="22">
        <f t="shared" si="5"/>
        <v>0</v>
      </c>
      <c r="Q28" s="22">
        <f t="shared" ref="Q28:Q37" si="24">ROUND(E28,0)</f>
        <v>-40</v>
      </c>
      <c r="R28" s="22">
        <f t="shared" si="7"/>
        <v>-2.3000000000649834E-2</v>
      </c>
    </row>
    <row r="29" spans="2:25" s="36" customFormat="1" x14ac:dyDescent="0.3">
      <c r="B29" s="35" t="s">
        <v>19</v>
      </c>
      <c r="C29" s="20"/>
      <c r="D29" s="20"/>
      <c r="E29" s="21"/>
      <c r="F29" s="20"/>
      <c r="G29" s="20"/>
      <c r="H29" s="4"/>
      <c r="I29" s="4"/>
      <c r="J29" s="4"/>
      <c r="K29" s="4"/>
      <c r="L29" s="4"/>
      <c r="M29" s="22">
        <f t="shared" si="23"/>
        <v>0</v>
      </c>
      <c r="N29" s="22">
        <f t="shared" si="3"/>
        <v>0</v>
      </c>
      <c r="O29" s="22">
        <f t="shared" si="4"/>
        <v>0</v>
      </c>
      <c r="P29" s="22">
        <f t="shared" si="5"/>
        <v>0</v>
      </c>
      <c r="Q29" s="22">
        <f t="shared" si="24"/>
        <v>0</v>
      </c>
      <c r="R29" s="22">
        <f t="shared" si="7"/>
        <v>0</v>
      </c>
    </row>
    <row r="30" spans="2:25" s="36" customFormat="1" x14ac:dyDescent="0.3">
      <c r="B30" s="56" t="s">
        <v>12</v>
      </c>
      <c r="C30" s="20">
        <f t="shared" ref="C30:C31" si="25">-C16</f>
        <v>1183</v>
      </c>
      <c r="D30" s="20">
        <f t="shared" ref="D30:E30" si="26">-D16</f>
        <v>996</v>
      </c>
      <c r="E30" s="21">
        <f t="shared" si="26"/>
        <v>1213.232</v>
      </c>
      <c r="F30" s="20"/>
      <c r="G30" s="20"/>
      <c r="H30" s="4"/>
      <c r="I30" s="4"/>
      <c r="J30" s="4"/>
      <c r="K30" s="4"/>
      <c r="L30" s="22">
        <f t="shared" ref="L30:L36" si="27">ROUND(C30,0)</f>
        <v>1183</v>
      </c>
      <c r="M30" s="22">
        <f t="shared" si="23"/>
        <v>1183</v>
      </c>
      <c r="N30" s="22">
        <f t="shared" si="3"/>
        <v>0</v>
      </c>
      <c r="O30" s="22">
        <f t="shared" si="4"/>
        <v>996</v>
      </c>
      <c r="P30" s="22">
        <f t="shared" si="5"/>
        <v>0</v>
      </c>
      <c r="Q30" s="22">
        <f t="shared" si="24"/>
        <v>1213</v>
      </c>
      <c r="R30" s="22">
        <f t="shared" si="7"/>
        <v>0.2319999999999709</v>
      </c>
    </row>
    <row r="31" spans="2:25" s="36" customFormat="1" x14ac:dyDescent="0.3">
      <c r="B31" s="56" t="s">
        <v>13</v>
      </c>
      <c r="C31" s="20">
        <f t="shared" si="25"/>
        <v>525</v>
      </c>
      <c r="D31" s="20">
        <f t="shared" ref="D31:E31" si="28">-D17</f>
        <v>420</v>
      </c>
      <c r="E31" s="21">
        <f t="shared" si="28"/>
        <v>361.23099999999999</v>
      </c>
      <c r="F31" s="20"/>
      <c r="G31" s="20"/>
      <c r="H31" s="4"/>
      <c r="I31" s="4"/>
      <c r="J31" s="4"/>
      <c r="K31" s="4"/>
      <c r="L31" s="22">
        <f t="shared" si="27"/>
        <v>525</v>
      </c>
      <c r="M31" s="22">
        <f t="shared" si="23"/>
        <v>525</v>
      </c>
      <c r="N31" s="22">
        <f t="shared" si="3"/>
        <v>0</v>
      </c>
      <c r="O31" s="22">
        <f t="shared" si="4"/>
        <v>420</v>
      </c>
      <c r="P31" s="22">
        <f t="shared" si="5"/>
        <v>0</v>
      </c>
      <c r="Q31" s="22">
        <f t="shared" si="24"/>
        <v>361</v>
      </c>
      <c r="R31" s="22">
        <f t="shared" si="7"/>
        <v>0.23099999999999454</v>
      </c>
    </row>
    <row r="32" spans="2:25" s="36" customFormat="1" x14ac:dyDescent="0.3">
      <c r="B32" s="56" t="s">
        <v>22</v>
      </c>
      <c r="C32" s="20">
        <f>-C19</f>
        <v>1</v>
      </c>
      <c r="D32" s="20">
        <f t="shared" ref="D32:E32" si="29">-D19</f>
        <v>0</v>
      </c>
      <c r="E32" s="21">
        <f t="shared" si="29"/>
        <v>0</v>
      </c>
      <c r="F32" s="20"/>
      <c r="G32" s="20"/>
      <c r="H32" s="4"/>
      <c r="I32" s="4"/>
      <c r="J32" s="4"/>
      <c r="K32" s="4"/>
      <c r="L32" s="22">
        <f t="shared" si="27"/>
        <v>1</v>
      </c>
      <c r="M32" s="22">
        <f t="shared" si="23"/>
        <v>1</v>
      </c>
      <c r="N32" s="22">
        <f t="shared" si="3"/>
        <v>0</v>
      </c>
      <c r="O32" s="22">
        <f t="shared" si="4"/>
        <v>0</v>
      </c>
      <c r="P32" s="22">
        <f t="shared" si="5"/>
        <v>0</v>
      </c>
      <c r="Q32" s="22">
        <f t="shared" si="24"/>
        <v>0</v>
      </c>
      <c r="R32" s="22">
        <f t="shared" si="7"/>
        <v>0</v>
      </c>
    </row>
    <row r="33" spans="2:18" s="36" customFormat="1" x14ac:dyDescent="0.3">
      <c r="B33" s="56" t="s">
        <v>37</v>
      </c>
      <c r="C33" s="20">
        <f>-C22</f>
        <v>8.6999999999999993</v>
      </c>
      <c r="D33" s="20">
        <f t="shared" ref="D33:E33" si="30">-D22</f>
        <v>92</v>
      </c>
      <c r="E33" s="21">
        <f t="shared" si="30"/>
        <v>201.5</v>
      </c>
      <c r="F33" s="20"/>
      <c r="G33" s="20"/>
      <c r="H33" s="4"/>
      <c r="I33" s="4"/>
      <c r="J33" s="4"/>
      <c r="K33" s="4"/>
      <c r="L33" s="22">
        <f t="shared" si="27"/>
        <v>9</v>
      </c>
      <c r="M33" s="22">
        <f t="shared" si="23"/>
        <v>9</v>
      </c>
      <c r="N33" s="22">
        <f t="shared" si="3"/>
        <v>-0.30000000000000071</v>
      </c>
      <c r="O33" s="22">
        <f t="shared" si="4"/>
        <v>92</v>
      </c>
      <c r="P33" s="22">
        <f t="shared" si="5"/>
        <v>0</v>
      </c>
      <c r="Q33" s="22">
        <f t="shared" si="24"/>
        <v>202</v>
      </c>
      <c r="R33" s="22">
        <f t="shared" si="7"/>
        <v>-0.5</v>
      </c>
    </row>
    <row r="34" spans="2:18" x14ac:dyDescent="0.3">
      <c r="B34" s="17" t="s">
        <v>20</v>
      </c>
      <c r="C34" s="20"/>
      <c r="D34" s="20"/>
      <c r="E34" s="21"/>
      <c r="F34" s="20"/>
      <c r="G34" s="20"/>
      <c r="L34" s="22">
        <f t="shared" si="27"/>
        <v>0</v>
      </c>
      <c r="M34" s="22">
        <f t="shared" si="23"/>
        <v>0</v>
      </c>
      <c r="N34" s="22">
        <f t="shared" si="3"/>
        <v>0</v>
      </c>
      <c r="O34" s="22">
        <f t="shared" si="4"/>
        <v>0</v>
      </c>
      <c r="P34" s="22">
        <f t="shared" si="5"/>
        <v>0</v>
      </c>
      <c r="Q34" s="22">
        <f t="shared" si="24"/>
        <v>0</v>
      </c>
      <c r="R34" s="22">
        <f t="shared" si="7"/>
        <v>0</v>
      </c>
    </row>
    <row r="35" spans="2:18" s="36" customFormat="1" x14ac:dyDescent="0.3">
      <c r="B35" s="56" t="s">
        <v>39</v>
      </c>
      <c r="C35" s="20">
        <f>-C23</f>
        <v>-14.7</v>
      </c>
      <c r="D35" s="20">
        <f t="shared" ref="D35:E35" si="31">-D23</f>
        <v>-123</v>
      </c>
      <c r="E35" s="21">
        <f t="shared" si="31"/>
        <v>-163.9</v>
      </c>
      <c r="F35" s="20"/>
      <c r="G35" s="20"/>
      <c r="H35" s="4"/>
      <c r="I35" s="4"/>
      <c r="J35" s="4"/>
      <c r="K35" s="4"/>
      <c r="L35" s="22">
        <f t="shared" si="27"/>
        <v>-15</v>
      </c>
      <c r="M35" s="22">
        <f t="shared" si="23"/>
        <v>-15</v>
      </c>
      <c r="N35" s="22">
        <f t="shared" si="3"/>
        <v>0.30000000000000071</v>
      </c>
      <c r="O35" s="22">
        <f t="shared" si="4"/>
        <v>-123</v>
      </c>
      <c r="P35" s="22">
        <f t="shared" si="5"/>
        <v>0</v>
      </c>
      <c r="Q35" s="22">
        <f t="shared" si="24"/>
        <v>-164</v>
      </c>
      <c r="R35" s="22">
        <f t="shared" si="7"/>
        <v>9.9999999999994316E-2</v>
      </c>
    </row>
    <row r="36" spans="2:18" x14ac:dyDescent="0.3">
      <c r="B36" s="56" t="str">
        <f>B18</f>
        <v>Other Income (including exchange gain/loss)</v>
      </c>
      <c r="C36" s="20">
        <f>-C18</f>
        <v>0</v>
      </c>
      <c r="D36" s="20">
        <f t="shared" ref="D36:E36" si="32">-D18</f>
        <v>-24</v>
      </c>
      <c r="E36" s="48">
        <f t="shared" si="32"/>
        <v>-52.798999999999999</v>
      </c>
      <c r="F36" s="20"/>
      <c r="G36" s="20"/>
      <c r="L36" s="22">
        <f t="shared" si="27"/>
        <v>0</v>
      </c>
      <c r="M36" s="22">
        <f t="shared" si="23"/>
        <v>0</v>
      </c>
      <c r="N36" s="22">
        <f t="shared" si="3"/>
        <v>0</v>
      </c>
      <c r="O36" s="22">
        <f t="shared" si="4"/>
        <v>-24</v>
      </c>
      <c r="P36" s="22">
        <f t="shared" si="5"/>
        <v>0</v>
      </c>
      <c r="Q36" s="22">
        <f t="shared" si="24"/>
        <v>-53</v>
      </c>
      <c r="R36" s="22">
        <f t="shared" si="7"/>
        <v>0.20100000000000051</v>
      </c>
    </row>
    <row r="37" spans="2:18" x14ac:dyDescent="0.3">
      <c r="B37" s="24" t="s">
        <v>11</v>
      </c>
      <c r="C37" s="25">
        <f>SUM(C28:C36)</f>
        <v>1689</v>
      </c>
      <c r="D37" s="25">
        <f t="shared" ref="D37:E37" si="33">SUM(D28:D36)</f>
        <v>1619</v>
      </c>
      <c r="E37" s="26">
        <f t="shared" si="33"/>
        <v>1519.2409999999993</v>
      </c>
      <c r="F37" s="31">
        <f>3243-E37-C37</f>
        <v>34.759000000000697</v>
      </c>
      <c r="G37" s="31"/>
      <c r="L37" s="25">
        <f>SUM(L28:L36)</f>
        <v>1689</v>
      </c>
      <c r="M37" s="22">
        <f t="shared" si="23"/>
        <v>1689</v>
      </c>
      <c r="N37" s="22">
        <f t="shared" si="3"/>
        <v>0</v>
      </c>
      <c r="O37" s="22">
        <f t="shared" si="4"/>
        <v>1619</v>
      </c>
      <c r="P37" s="22">
        <f t="shared" si="5"/>
        <v>0</v>
      </c>
      <c r="Q37" s="22">
        <f t="shared" si="24"/>
        <v>1519</v>
      </c>
      <c r="R37" s="22">
        <f t="shared" si="7"/>
        <v>0.24099999999930333</v>
      </c>
    </row>
    <row r="38" spans="2:18" x14ac:dyDescent="0.3">
      <c r="B38" s="37"/>
      <c r="C38" s="38"/>
      <c r="D38" s="38"/>
      <c r="E38" s="48"/>
    </row>
    <row r="39" spans="2:18" x14ac:dyDescent="0.3">
      <c r="E39" s="47"/>
    </row>
    <row r="40" spans="2:18" x14ac:dyDescent="0.3">
      <c r="C40" s="20">
        <f>C37-C14</f>
        <v>0</v>
      </c>
      <c r="D40" s="20">
        <f>D37-D14</f>
        <v>0</v>
      </c>
      <c r="E40" s="20">
        <f>E37-E14</f>
        <v>0</v>
      </c>
    </row>
    <row r="41" spans="2:18" hidden="1" x14ac:dyDescent="0.3">
      <c r="D41" s="20"/>
    </row>
    <row r="42" spans="2:18" hidden="1" x14ac:dyDescent="0.3">
      <c r="C42" s="41" t="s">
        <v>36</v>
      </c>
      <c r="H42" s="42"/>
      <c r="I42" s="67" t="s">
        <v>51</v>
      </c>
      <c r="J42" s="67"/>
      <c r="K42" s="67" t="s">
        <v>52</v>
      </c>
      <c r="L42" s="67"/>
      <c r="M42" s="67" t="s">
        <v>53</v>
      </c>
      <c r="N42" s="67"/>
      <c r="O42" s="59"/>
      <c r="P42" s="59"/>
    </row>
    <row r="43" spans="2:18" hidden="1" x14ac:dyDescent="0.3">
      <c r="B43" s="57" t="s">
        <v>42</v>
      </c>
      <c r="C43" s="46">
        <v>7570</v>
      </c>
      <c r="D43" s="46">
        <v>2775</v>
      </c>
      <c r="E43" s="46">
        <f>75698.4570009084/10</f>
        <v>7569.8457000908402</v>
      </c>
      <c r="H43" s="42" t="s">
        <v>48</v>
      </c>
      <c r="I43" s="46">
        <v>9341</v>
      </c>
      <c r="J43" s="46">
        <f>I43/10</f>
        <v>934.1</v>
      </c>
      <c r="K43" s="46">
        <f>M43-I43</f>
        <v>12556.284591</v>
      </c>
      <c r="L43" s="46">
        <f>K43/10</f>
        <v>1255.6284590999999</v>
      </c>
      <c r="M43" s="46">
        <v>21897.284591</v>
      </c>
      <c r="N43" s="46">
        <f>M43/10</f>
        <v>2189.7284590999998</v>
      </c>
      <c r="O43" s="20"/>
      <c r="P43" s="20"/>
    </row>
    <row r="44" spans="2:18" hidden="1" x14ac:dyDescent="0.3">
      <c r="B44" s="57" t="s">
        <v>43</v>
      </c>
      <c r="C44" s="46">
        <v>947</v>
      </c>
      <c r="D44" s="46">
        <v>2234</v>
      </c>
      <c r="E44" s="46">
        <v>1436</v>
      </c>
      <c r="H44" s="42" t="s">
        <v>49</v>
      </c>
      <c r="I44" s="46">
        <v>1009</v>
      </c>
      <c r="J44" s="46">
        <f t="shared" ref="J44:J45" si="34">I44/10</f>
        <v>100.9</v>
      </c>
      <c r="K44" s="46">
        <f>M44-I44</f>
        <v>923.15141480000102</v>
      </c>
      <c r="L44" s="46">
        <f t="shared" ref="L44:L45" si="35">K44/10</f>
        <v>92.315141480000108</v>
      </c>
      <c r="M44" s="46">
        <v>1932.151414800001</v>
      </c>
      <c r="N44" s="46">
        <f t="shared" ref="N44:N45" si="36">M44/10</f>
        <v>193.21514148000011</v>
      </c>
      <c r="O44" s="20"/>
      <c r="P44" s="20"/>
    </row>
    <row r="45" spans="2:18" hidden="1" x14ac:dyDescent="0.3">
      <c r="H45" s="42" t="s">
        <v>50</v>
      </c>
      <c r="I45" s="46">
        <v>4007.0359400000002</v>
      </c>
      <c r="J45" s="46">
        <f t="shared" si="34"/>
        <v>400.70359400000001</v>
      </c>
      <c r="K45" s="46">
        <f>M45-I45</f>
        <v>4498.3913300000004</v>
      </c>
      <c r="L45" s="46">
        <f t="shared" si="35"/>
        <v>449.83913300000006</v>
      </c>
      <c r="M45" s="46">
        <v>8505.4272700000001</v>
      </c>
      <c r="N45" s="46">
        <f t="shared" si="36"/>
        <v>850.54272700000001</v>
      </c>
      <c r="O45" s="20"/>
      <c r="P45" s="20"/>
    </row>
    <row r="46" spans="2:18" hidden="1" x14ac:dyDescent="0.3">
      <c r="H46" s="42"/>
      <c r="I46" s="46">
        <f t="shared" ref="I46:N46" si="37">SUM(I43:I45)</f>
        <v>14357.03594</v>
      </c>
      <c r="J46" s="46">
        <f t="shared" si="37"/>
        <v>1435.7035940000001</v>
      </c>
      <c r="K46" s="46">
        <f t="shared" si="37"/>
        <v>17977.827335800001</v>
      </c>
      <c r="L46" s="46">
        <f t="shared" si="37"/>
        <v>1797.7827335800002</v>
      </c>
      <c r="M46" s="46">
        <f t="shared" si="37"/>
        <v>32334.863275800002</v>
      </c>
      <c r="N46" s="46">
        <f t="shared" si="37"/>
        <v>3233.4863275799999</v>
      </c>
      <c r="O46" s="20"/>
      <c r="P46" s="20"/>
    </row>
    <row r="47" spans="2:18" hidden="1" x14ac:dyDescent="0.3"/>
    <row r="48" spans="2:18" hidden="1" x14ac:dyDescent="0.3"/>
    <row r="71" spans="12:16" x14ac:dyDescent="0.3">
      <c r="L71" s="58">
        <v>23829</v>
      </c>
    </row>
    <row r="72" spans="12:16" x14ac:dyDescent="0.3">
      <c r="L72" s="53">
        <v>8505.4272700000001</v>
      </c>
    </row>
    <row r="73" spans="12:16" x14ac:dyDescent="0.3">
      <c r="L73" s="58">
        <f>SUM(L71:L72)</f>
        <v>32334.42727</v>
      </c>
      <c r="M73" s="4">
        <v>1436</v>
      </c>
      <c r="N73" s="58">
        <f>L73-M73</f>
        <v>30898.42727</v>
      </c>
      <c r="O73" s="58"/>
      <c r="P73" s="58"/>
    </row>
    <row r="74" spans="12:16" x14ac:dyDescent="0.3">
      <c r="L74" s="4">
        <f>L73/10</f>
        <v>3233.4427270000001</v>
      </c>
      <c r="N74" s="4">
        <f>L74-M73</f>
        <v>1797.4427270000001</v>
      </c>
    </row>
  </sheetData>
  <mergeCells count="3">
    <mergeCell ref="I42:J42"/>
    <mergeCell ref="M42:N42"/>
    <mergeCell ref="K42:L42"/>
  </mergeCells>
  <hyperlinks>
    <hyperlink ref="C7" r:id="rId1" display="2014@" xr:uid="{AC4C8219-57B9-4488-AC46-F7826671EBFD}"/>
    <hyperlink ref="D7" r:id="rId2" display="2014@" xr:uid="{5BC0D8F5-76AC-4581-8BEA-84B96F5D9179}"/>
    <hyperlink ref="E7" r:id="rId3" display="2014@" xr:uid="{4B956F3F-A79F-4D35-AF2F-0E5FACD5873F}"/>
  </hyperlinks>
  <pageMargins left="0.38" right="0.24" top="1" bottom="1" header="0.5" footer="0.5"/>
  <pageSetup paperSize="9"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3234-002B-45F8-A563-301A748E4606}">
  <dimension ref="B4:I25"/>
  <sheetViews>
    <sheetView workbookViewId="0">
      <selection activeCell="M16" sqref="M16"/>
    </sheetView>
  </sheetViews>
  <sheetFormatPr defaultRowHeight="12.5" x14ac:dyDescent="0.25"/>
  <cols>
    <col min="2" max="2" width="21.81640625" bestFit="1" customWidth="1"/>
    <col min="3" max="3" width="17.81640625" style="60" customWidth="1"/>
    <col min="4" max="4" width="10.08984375" bestFit="1" customWidth="1"/>
  </cols>
  <sheetData>
    <row r="4" spans="2:4" x14ac:dyDescent="0.25">
      <c r="B4" t="s">
        <v>56</v>
      </c>
      <c r="C4" s="60">
        <v>1086</v>
      </c>
    </row>
    <row r="6" spans="2:4" x14ac:dyDescent="0.25">
      <c r="B6" t="s">
        <v>57</v>
      </c>
      <c r="C6" s="60">
        <v>6037</v>
      </c>
    </row>
    <row r="9" spans="2:4" ht="13" x14ac:dyDescent="0.25">
      <c r="B9" s="61" t="s">
        <v>58</v>
      </c>
      <c r="C9" s="61" t="s">
        <v>59</v>
      </c>
      <c r="D9" s="61" t="s">
        <v>60</v>
      </c>
    </row>
    <row r="10" spans="2:4" ht="13" x14ac:dyDescent="0.25">
      <c r="B10" s="62" t="s">
        <v>61</v>
      </c>
      <c r="C10" s="63">
        <v>21979</v>
      </c>
      <c r="D10" s="63">
        <v>17145</v>
      </c>
    </row>
    <row r="11" spans="2:4" ht="13" x14ac:dyDescent="0.25">
      <c r="B11" s="64" t="s">
        <v>62</v>
      </c>
      <c r="C11" s="65"/>
      <c r="D11" s="65"/>
    </row>
    <row r="12" spans="2:4" ht="13" x14ac:dyDescent="0.25">
      <c r="B12" s="62" t="s">
        <v>63</v>
      </c>
      <c r="C12" s="63">
        <v>17272</v>
      </c>
      <c r="D12" s="63">
        <v>13818</v>
      </c>
    </row>
    <row r="13" spans="2:4" ht="13" x14ac:dyDescent="0.25">
      <c r="B13" s="62" t="s">
        <v>64</v>
      </c>
      <c r="C13" s="65" t="s">
        <v>65</v>
      </c>
      <c r="D13" s="63">
        <v>6662</v>
      </c>
    </row>
    <row r="16" spans="2:4" ht="13" x14ac:dyDescent="0.3">
      <c r="B16" s="66" t="s">
        <v>66</v>
      </c>
    </row>
    <row r="17" spans="2:9" ht="27.65" customHeight="1" x14ac:dyDescent="0.3">
      <c r="B17" s="68" t="s">
        <v>67</v>
      </c>
      <c r="C17" s="69"/>
      <c r="D17" s="69"/>
      <c r="E17" s="69"/>
      <c r="F17" s="69"/>
      <c r="G17" s="69"/>
      <c r="H17" s="69"/>
      <c r="I17" s="70"/>
    </row>
    <row r="21" spans="2:9" ht="13" x14ac:dyDescent="0.3">
      <c r="B21" s="66" t="s">
        <v>68</v>
      </c>
    </row>
    <row r="22" spans="2:9" ht="25.25" customHeight="1" x14ac:dyDescent="0.25">
      <c r="B22" s="71" t="s">
        <v>69</v>
      </c>
      <c r="C22" s="72"/>
      <c r="D22" s="72"/>
      <c r="E22" s="72"/>
      <c r="F22" s="72"/>
      <c r="G22" s="72"/>
      <c r="H22" s="72"/>
      <c r="I22" s="73"/>
    </row>
    <row r="23" spans="2:9" ht="25.25" customHeight="1" x14ac:dyDescent="0.25">
      <c r="B23" s="74"/>
      <c r="C23" s="75"/>
      <c r="D23" s="75"/>
      <c r="E23" s="75"/>
      <c r="F23" s="75"/>
      <c r="G23" s="75"/>
      <c r="H23" s="75"/>
      <c r="I23" s="76"/>
    </row>
    <row r="24" spans="2:9" ht="25.25" customHeight="1" x14ac:dyDescent="0.25">
      <c r="B24" s="74"/>
      <c r="C24" s="75"/>
      <c r="D24" s="75"/>
      <c r="E24" s="75"/>
      <c r="F24" s="75"/>
      <c r="G24" s="75"/>
      <c r="H24" s="75"/>
      <c r="I24" s="76"/>
    </row>
    <row r="25" spans="2:9" ht="20.399999999999999" customHeight="1" x14ac:dyDescent="0.25">
      <c r="B25" s="77"/>
      <c r="C25" s="78"/>
      <c r="D25" s="78"/>
      <c r="E25" s="78"/>
      <c r="F25" s="78"/>
      <c r="G25" s="78"/>
      <c r="H25" s="78"/>
      <c r="I25" s="79"/>
    </row>
  </sheetData>
  <mergeCells count="2">
    <mergeCell ref="B17:I17"/>
    <mergeCell ref="B22:I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Ind AS 116 Impact</vt:lpstr>
      <vt:lpstr>Press Release March 20 New</vt:lpstr>
      <vt:lpstr>Sheet1</vt:lpstr>
      <vt:lpstr>Press Release Dec 23</vt:lpstr>
      <vt:lpstr>Details</vt:lpstr>
      <vt:lpstr>'Press Release Dec 23'!Print_Area</vt:lpstr>
      <vt:lpstr>'Press Release March 20 New'!Print_Area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10785-MAA</dc:creator>
  <cp:lastModifiedBy>Praveen Krishna</cp:lastModifiedBy>
  <cp:lastPrinted>2024-01-18T06:26:27Z</cp:lastPrinted>
  <dcterms:created xsi:type="dcterms:W3CDTF">2018-04-23T18:48:38Z</dcterms:created>
  <dcterms:modified xsi:type="dcterms:W3CDTF">2024-01-18T07:40:06Z</dcterms:modified>
</cp:coreProperties>
</file>